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4409\BBM\"/>
    </mc:Choice>
  </mc:AlternateContent>
  <bookViews>
    <workbookView xWindow="0" yWindow="0" windowWidth="23040" windowHeight="9030" activeTab="1"/>
  </bookViews>
  <sheets>
    <sheet name="BEVILLING 2018" sheetId="14" r:id="rId1"/>
    <sheet name="Bispebjerg-Brønshøj-modellen" sheetId="13" r:id="rId2"/>
    <sheet name="ny m2" sheetId="10" r:id="rId3"/>
    <sheet name="ny m2 rådata" sheetId="9" r:id="rId4"/>
    <sheet name="Formål 2" sheetId="3" r:id="rId5"/>
    <sheet name="Formål 3 skal" sheetId="4" r:id="rId6"/>
    <sheet name="Formål 3 kan" sheetId="5" r:id="rId7"/>
    <sheet name="Indbyggere" sheetId="6" r:id="rId8"/>
  </sheets>
  <calcPr calcId="162913"/>
</workbook>
</file>

<file path=xl/calcChain.xml><?xml version="1.0" encoding="utf-8"?>
<calcChain xmlns="http://schemas.openxmlformats.org/spreadsheetml/2006/main">
  <c r="Z9" i="13" l="1"/>
  <c r="L9" i="13"/>
  <c r="AB24" i="13"/>
  <c r="L24" i="13"/>
  <c r="F3" i="14" l="1"/>
  <c r="E4" i="14"/>
  <c r="E5" i="14"/>
  <c r="E6" i="14"/>
  <c r="E7" i="14"/>
  <c r="E8" i="14"/>
  <c r="E9" i="14"/>
  <c r="E10" i="14"/>
  <c r="E11" i="14"/>
  <c r="E3" i="14"/>
  <c r="L6" i="13"/>
  <c r="H10" i="5" l="1"/>
  <c r="F10" i="5" l="1"/>
  <c r="D26" i="14" l="1"/>
  <c r="E25" i="14" s="1"/>
  <c r="M16" i="14" l="1"/>
  <c r="L12" i="14"/>
  <c r="K12" i="14"/>
  <c r="C12" i="14"/>
  <c r="B12" i="14"/>
  <c r="B9" i="10" l="1"/>
  <c r="E16" i="10"/>
  <c r="E14" i="10"/>
  <c r="E13" i="10"/>
  <c r="E12" i="10"/>
  <c r="E11" i="10"/>
  <c r="E10" i="10"/>
  <c r="E9" i="10"/>
  <c r="E8" i="10"/>
  <c r="B15" i="10"/>
  <c r="B14" i="10"/>
  <c r="B13" i="10"/>
  <c r="B12" i="10"/>
  <c r="B11" i="10"/>
  <c r="B10" i="10"/>
  <c r="B8" i="10"/>
  <c r="L29" i="13" l="1"/>
  <c r="M29" i="13"/>
  <c r="L30" i="13"/>
  <c r="M30" i="13"/>
  <c r="N30" i="13" s="1"/>
  <c r="L31" i="13"/>
  <c r="M31" i="13"/>
  <c r="L32" i="13"/>
  <c r="M32" i="13"/>
  <c r="N32" i="13" s="1"/>
  <c r="L33" i="13"/>
  <c r="M33" i="13"/>
  <c r="L34" i="13"/>
  <c r="M34" i="13"/>
  <c r="N34" i="13" s="1"/>
  <c r="L35" i="13"/>
  <c r="M35" i="13"/>
  <c r="N35" i="13" s="1"/>
  <c r="L36" i="13"/>
  <c r="M36" i="13"/>
  <c r="N36" i="13" s="1"/>
  <c r="AB37" i="13"/>
  <c r="S37" i="13"/>
  <c r="R37" i="13"/>
  <c r="Q37" i="13"/>
  <c r="J36" i="13"/>
  <c r="I36" i="13"/>
  <c r="G36" i="13"/>
  <c r="F36" i="13"/>
  <c r="D36" i="13"/>
  <c r="C36" i="13"/>
  <c r="J35" i="13"/>
  <c r="I35" i="13"/>
  <c r="G35" i="13"/>
  <c r="F35" i="13"/>
  <c r="D35" i="13"/>
  <c r="C35" i="13"/>
  <c r="J34" i="13"/>
  <c r="I34" i="13"/>
  <c r="G34" i="13"/>
  <c r="F34" i="13"/>
  <c r="D34" i="13"/>
  <c r="C34" i="13"/>
  <c r="J33" i="13"/>
  <c r="I33" i="13"/>
  <c r="G33" i="13"/>
  <c r="F33" i="13"/>
  <c r="D33" i="13"/>
  <c r="C33" i="13"/>
  <c r="J32" i="13"/>
  <c r="I32" i="13"/>
  <c r="G32" i="13"/>
  <c r="F32" i="13"/>
  <c r="D32" i="13"/>
  <c r="C32" i="13"/>
  <c r="J31" i="13"/>
  <c r="I31" i="13"/>
  <c r="G31" i="13"/>
  <c r="F31" i="13"/>
  <c r="D31" i="13"/>
  <c r="C31" i="13"/>
  <c r="J30" i="13"/>
  <c r="I30" i="13"/>
  <c r="G30" i="13"/>
  <c r="F30" i="13"/>
  <c r="D30" i="13"/>
  <c r="C30" i="13"/>
  <c r="J29" i="13"/>
  <c r="I29" i="13"/>
  <c r="G29" i="13"/>
  <c r="F29" i="13"/>
  <c r="D29" i="13"/>
  <c r="C29" i="13"/>
  <c r="J28" i="13"/>
  <c r="I28" i="13"/>
  <c r="G28" i="13"/>
  <c r="F28" i="13"/>
  <c r="D28" i="13"/>
  <c r="C28" i="13"/>
  <c r="AB22" i="13"/>
  <c r="Y22" i="13"/>
  <c r="W21" i="13" s="1"/>
  <c r="V22" i="13"/>
  <c r="U21" i="13" s="1"/>
  <c r="S22" i="13"/>
  <c r="T21" i="13"/>
  <c r="J21" i="13"/>
  <c r="G21" i="13"/>
  <c r="D21" i="13"/>
  <c r="U20" i="13"/>
  <c r="Q20" i="13"/>
  <c r="J20" i="13"/>
  <c r="G20" i="13"/>
  <c r="D20" i="13"/>
  <c r="W19" i="13"/>
  <c r="T19" i="13"/>
  <c r="J19" i="13"/>
  <c r="G19" i="13"/>
  <c r="D19" i="13"/>
  <c r="T18" i="13"/>
  <c r="J18" i="13"/>
  <c r="G18" i="13"/>
  <c r="D18" i="13"/>
  <c r="T17" i="13"/>
  <c r="Q17" i="13"/>
  <c r="J17" i="13"/>
  <c r="G17" i="13"/>
  <c r="D17" i="13"/>
  <c r="U16" i="13"/>
  <c r="J16" i="13"/>
  <c r="G16" i="13"/>
  <c r="D16" i="13"/>
  <c r="U15" i="13"/>
  <c r="T15" i="13"/>
  <c r="J15" i="13"/>
  <c r="G15" i="13"/>
  <c r="D15" i="13"/>
  <c r="U14" i="13"/>
  <c r="T14" i="13"/>
  <c r="Q14" i="13"/>
  <c r="J14" i="13"/>
  <c r="G14" i="13"/>
  <c r="D14" i="13"/>
  <c r="U13" i="13"/>
  <c r="T13" i="13"/>
  <c r="Q13" i="13"/>
  <c r="J13" i="13"/>
  <c r="G13" i="13"/>
  <c r="D13" i="13"/>
  <c r="W16" i="13" l="1"/>
  <c r="E28" i="13"/>
  <c r="H29" i="13"/>
  <c r="E30" i="13"/>
  <c r="K32" i="13"/>
  <c r="M17" i="13"/>
  <c r="W14" i="13"/>
  <c r="Z14" i="13" s="1"/>
  <c r="E31" i="13"/>
  <c r="W13" i="13"/>
  <c r="Z13" i="13" s="1"/>
  <c r="M15" i="13"/>
  <c r="W17" i="13"/>
  <c r="Z17" i="13" s="1"/>
  <c r="L28" i="13"/>
  <c r="L37" i="13" s="1"/>
  <c r="H30" i="13"/>
  <c r="K35" i="13"/>
  <c r="W15" i="13"/>
  <c r="W18" i="13"/>
  <c r="K36" i="13"/>
  <c r="T16" i="13"/>
  <c r="V16" i="13" s="1"/>
  <c r="U17" i="13"/>
  <c r="V17" i="13" s="1"/>
  <c r="U19" i="13"/>
  <c r="V19" i="13" s="1"/>
  <c r="U18" i="13"/>
  <c r="V18" i="13" s="1"/>
  <c r="T20" i="13"/>
  <c r="V20" i="13" s="1"/>
  <c r="V14" i="13"/>
  <c r="V15" i="13"/>
  <c r="E33" i="13"/>
  <c r="K33" i="13"/>
  <c r="H36" i="13"/>
  <c r="M18" i="13"/>
  <c r="M14" i="13"/>
  <c r="V13" i="13"/>
  <c r="K34" i="13"/>
  <c r="H35" i="13"/>
  <c r="M19" i="13"/>
  <c r="M20" i="13"/>
  <c r="H28" i="13"/>
  <c r="K30" i="13"/>
  <c r="H31" i="13"/>
  <c r="G37" i="13"/>
  <c r="M16" i="13"/>
  <c r="M21" i="13"/>
  <c r="N33" i="13"/>
  <c r="N31" i="13"/>
  <c r="N29" i="13"/>
  <c r="D22" i="13"/>
  <c r="Q16" i="13"/>
  <c r="Q19" i="13"/>
  <c r="W20" i="13"/>
  <c r="Z20" i="13" s="1"/>
  <c r="Q21" i="13"/>
  <c r="C37" i="13"/>
  <c r="E29" i="13"/>
  <c r="K29" i="13"/>
  <c r="E32" i="13"/>
  <c r="H34" i="13"/>
  <c r="M13" i="13"/>
  <c r="M28" i="13"/>
  <c r="M37" i="13" s="1"/>
  <c r="V21" i="13"/>
  <c r="G22" i="13"/>
  <c r="Q18" i="13"/>
  <c r="I37" i="13"/>
  <c r="H33" i="13"/>
  <c r="E35" i="13"/>
  <c r="E36" i="13"/>
  <c r="J22" i="13"/>
  <c r="Q15" i="13"/>
  <c r="F37" i="13"/>
  <c r="J37" i="13"/>
  <c r="K31" i="13"/>
  <c r="H32" i="13"/>
  <c r="E34" i="13"/>
  <c r="X21" i="13"/>
  <c r="Y21" i="13" s="1"/>
  <c r="X20" i="13"/>
  <c r="X19" i="13"/>
  <c r="Y19" i="13" s="1"/>
  <c r="X18" i="13"/>
  <c r="X17" i="13"/>
  <c r="X16" i="13"/>
  <c r="Y16" i="13" s="1"/>
  <c r="X15" i="13"/>
  <c r="X14" i="13"/>
  <c r="X13" i="13"/>
  <c r="K28" i="13"/>
  <c r="D37" i="13"/>
  <c r="B63" i="9"/>
  <c r="F5" i="10"/>
  <c r="K147" i="9"/>
  <c r="H147" i="9"/>
  <c r="D16" i="10" s="1"/>
  <c r="E147" i="9"/>
  <c r="C16" i="10" s="1"/>
  <c r="B147" i="9"/>
  <c r="B16" i="10" s="1"/>
  <c r="K135" i="9"/>
  <c r="H135" i="9"/>
  <c r="E135" i="9"/>
  <c r="B135" i="9"/>
  <c r="K123" i="9"/>
  <c r="H123" i="9"/>
  <c r="E123" i="9"/>
  <c r="B123" i="9"/>
  <c r="K111" i="9"/>
  <c r="H111" i="9"/>
  <c r="D14" i="10" s="1"/>
  <c r="E111" i="9"/>
  <c r="C14" i="10" s="1"/>
  <c r="B111" i="9"/>
  <c r="K99" i="9"/>
  <c r="H99" i="9"/>
  <c r="D13" i="10" s="1"/>
  <c r="E99" i="9"/>
  <c r="C13" i="10" s="1"/>
  <c r="B99" i="9"/>
  <c r="K87" i="9"/>
  <c r="H87" i="9"/>
  <c r="E87" i="9"/>
  <c r="B87" i="9"/>
  <c r="K75" i="9"/>
  <c r="H75" i="9"/>
  <c r="D11" i="10" s="1"/>
  <c r="E75" i="9"/>
  <c r="C11" i="10" s="1"/>
  <c r="B75" i="9"/>
  <c r="K63" i="9"/>
  <c r="H63" i="9"/>
  <c r="E63" i="9"/>
  <c r="K41" i="9"/>
  <c r="H41" i="9"/>
  <c r="D9" i="10" s="1"/>
  <c r="E41" i="9"/>
  <c r="C9" i="10" s="1"/>
  <c r="B41" i="9"/>
  <c r="K29" i="9"/>
  <c r="H29" i="9"/>
  <c r="D8" i="10" s="1"/>
  <c r="E29" i="9"/>
  <c r="C8" i="10" s="1"/>
  <c r="F8" i="10" s="1"/>
  <c r="B29" i="9"/>
  <c r="Y15" i="13" l="1"/>
  <c r="Y14" i="13"/>
  <c r="Y18" i="13"/>
  <c r="U22" i="13"/>
  <c r="Y17" i="13"/>
  <c r="T22" i="13"/>
  <c r="H38" i="13"/>
  <c r="V23" i="13"/>
  <c r="K38" i="13"/>
  <c r="Y20" i="13"/>
  <c r="W22" i="13"/>
  <c r="E38" i="13"/>
  <c r="C15" i="10"/>
  <c r="D15" i="10"/>
  <c r="Z21" i="13"/>
  <c r="N28" i="13"/>
  <c r="Z16" i="13"/>
  <c r="Z15" i="13"/>
  <c r="Z18" i="13"/>
  <c r="Z19" i="13"/>
  <c r="Q22" i="13"/>
  <c r="D12" i="10"/>
  <c r="C12" i="10"/>
  <c r="D10" i="10"/>
  <c r="F10" i="10" s="1"/>
  <c r="C10" i="10"/>
  <c r="E15" i="10"/>
  <c r="F15" i="10" s="1"/>
  <c r="X22" i="13"/>
  <c r="Y13" i="13"/>
  <c r="F16" i="10"/>
  <c r="F14" i="10"/>
  <c r="F13" i="10"/>
  <c r="F11" i="10"/>
  <c r="F9" i="10"/>
  <c r="N38" i="13" l="1"/>
  <c r="Y23" i="13"/>
  <c r="Z22" i="13"/>
  <c r="F12" i="10"/>
  <c r="F17" i="10" s="1"/>
  <c r="E12" i="4"/>
  <c r="H11" i="5"/>
  <c r="F11" i="5"/>
  <c r="G11" i="5" s="1"/>
  <c r="G10" i="5"/>
  <c r="G9" i="5"/>
  <c r="H9" i="5"/>
  <c r="F9" i="5"/>
  <c r="G8" i="5"/>
  <c r="H8" i="5"/>
  <c r="F8" i="5"/>
  <c r="H7" i="5"/>
  <c r="F7" i="5"/>
  <c r="G7" i="5" s="1"/>
  <c r="H3" i="5"/>
  <c r="F3" i="5"/>
  <c r="G3" i="5" s="1"/>
  <c r="G5" i="5"/>
  <c r="H5" i="5"/>
  <c r="F5" i="5"/>
  <c r="G6" i="5"/>
  <c r="H6" i="5"/>
  <c r="F6" i="5"/>
  <c r="K12" i="4"/>
  <c r="J12" i="4"/>
  <c r="J7" i="4"/>
  <c r="J6" i="4"/>
  <c r="J3" i="4"/>
  <c r="J10" i="4" s="1"/>
  <c r="J6" i="3"/>
  <c r="J5" i="3"/>
  <c r="J3" i="3"/>
  <c r="I12" i="4"/>
  <c r="H12" i="4"/>
  <c r="G12" i="4"/>
  <c r="F12" i="4"/>
  <c r="C12" i="4"/>
  <c r="L10" i="4"/>
  <c r="E10" i="4"/>
  <c r="F10" i="4"/>
  <c r="G10" i="4"/>
  <c r="H10" i="4"/>
  <c r="I10" i="4"/>
  <c r="K10" i="4"/>
  <c r="K14" i="4" s="1"/>
  <c r="D10" i="4"/>
  <c r="C10" i="4"/>
  <c r="F10" i="6"/>
  <c r="I16" i="13" l="1"/>
  <c r="K16" i="13" s="1"/>
  <c r="AH31" i="13" s="1"/>
  <c r="AR31" i="13" s="1"/>
  <c r="AS31" i="13" s="1"/>
  <c r="I20" i="13"/>
  <c r="K20" i="13" s="1"/>
  <c r="AH35" i="13" s="1"/>
  <c r="AR35" i="13" s="1"/>
  <c r="AS35" i="13" s="1"/>
  <c r="F15" i="13"/>
  <c r="H15" i="13" s="1"/>
  <c r="AG30" i="13" s="1"/>
  <c r="AP30" i="13" s="1"/>
  <c r="AQ30" i="13" s="1"/>
  <c r="F19" i="13"/>
  <c r="H19" i="13" s="1"/>
  <c r="AG34" i="13" s="1"/>
  <c r="AP34" i="13" s="1"/>
  <c r="AQ34" i="13" s="1"/>
  <c r="C14" i="13"/>
  <c r="C18" i="13"/>
  <c r="C13" i="13"/>
  <c r="I21" i="13"/>
  <c r="K21" i="13" s="1"/>
  <c r="AH36" i="13" s="1"/>
  <c r="AR36" i="13" s="1"/>
  <c r="AS36" i="13" s="1"/>
  <c r="F16" i="13"/>
  <c r="H16" i="13" s="1"/>
  <c r="AG31" i="13" s="1"/>
  <c r="AP31" i="13" s="1"/>
  <c r="AQ31" i="13" s="1"/>
  <c r="F20" i="13"/>
  <c r="H20" i="13" s="1"/>
  <c r="AG35" i="13" s="1"/>
  <c r="AP35" i="13" s="1"/>
  <c r="AQ35" i="13" s="1"/>
  <c r="C15" i="13"/>
  <c r="I17" i="13"/>
  <c r="K17" i="13" s="1"/>
  <c r="AH32" i="13" s="1"/>
  <c r="AR32" i="13" s="1"/>
  <c r="AS32" i="13" s="1"/>
  <c r="C19" i="13"/>
  <c r="I14" i="13"/>
  <c r="K14" i="13" s="1"/>
  <c r="AH29" i="13" s="1"/>
  <c r="AR29" i="13" s="1"/>
  <c r="AS29" i="13" s="1"/>
  <c r="I18" i="13"/>
  <c r="K18" i="13" s="1"/>
  <c r="AH33" i="13" s="1"/>
  <c r="AR33" i="13" s="1"/>
  <c r="AS33" i="13" s="1"/>
  <c r="I13" i="13"/>
  <c r="F17" i="13"/>
  <c r="H17" i="13" s="1"/>
  <c r="AG32" i="13" s="1"/>
  <c r="AP32" i="13" s="1"/>
  <c r="AQ32" i="13" s="1"/>
  <c r="F21" i="13"/>
  <c r="H21" i="13" s="1"/>
  <c r="AG36" i="13" s="1"/>
  <c r="AP36" i="13" s="1"/>
  <c r="AQ36" i="13" s="1"/>
  <c r="C16" i="13"/>
  <c r="C20" i="13"/>
  <c r="I15" i="13"/>
  <c r="K15" i="13" s="1"/>
  <c r="AH30" i="13" s="1"/>
  <c r="AR30" i="13" s="1"/>
  <c r="AS30" i="13" s="1"/>
  <c r="I19" i="13"/>
  <c r="K19" i="13" s="1"/>
  <c r="AH34" i="13" s="1"/>
  <c r="AR34" i="13" s="1"/>
  <c r="AS34" i="13" s="1"/>
  <c r="F14" i="13"/>
  <c r="H14" i="13" s="1"/>
  <c r="AG29" i="13" s="1"/>
  <c r="AP29" i="13" s="1"/>
  <c r="AQ29" i="13" s="1"/>
  <c r="F18" i="13"/>
  <c r="H18" i="13" s="1"/>
  <c r="AG33" i="13" s="1"/>
  <c r="AP33" i="13" s="1"/>
  <c r="AQ33" i="13" s="1"/>
  <c r="F13" i="13"/>
  <c r="C17" i="13"/>
  <c r="C21" i="13"/>
  <c r="F12" i="6"/>
  <c r="G12" i="5"/>
  <c r="H12" i="5"/>
  <c r="J14" i="4"/>
  <c r="I14" i="4"/>
  <c r="H14" i="4"/>
  <c r="G14" i="4"/>
  <c r="F14" i="4"/>
  <c r="E14" i="4"/>
  <c r="D14" i="4"/>
  <c r="C14" i="4"/>
  <c r="L12" i="4"/>
  <c r="G8" i="3"/>
  <c r="E8" i="3"/>
  <c r="L8" i="3" s="1"/>
  <c r="K7" i="3"/>
  <c r="I7" i="3"/>
  <c r="I9" i="3" s="1"/>
  <c r="I11" i="3" s="1"/>
  <c r="H7" i="3"/>
  <c r="G7" i="3"/>
  <c r="G9" i="3" s="1"/>
  <c r="G11" i="3" s="1"/>
  <c r="F7" i="3"/>
  <c r="E7" i="3"/>
  <c r="E9" i="3" s="1"/>
  <c r="E11" i="3" s="1"/>
  <c r="D7" i="3"/>
  <c r="C7" i="3"/>
  <c r="L6" i="3"/>
  <c r="L5" i="3"/>
  <c r="K4" i="3"/>
  <c r="K9" i="3" s="1"/>
  <c r="K11" i="3" s="1"/>
  <c r="J4" i="3"/>
  <c r="H9" i="3"/>
  <c r="H11" i="3" s="1"/>
  <c r="D4" i="3"/>
  <c r="D9" i="3" s="1"/>
  <c r="D11" i="3" s="1"/>
  <c r="R15" i="13" l="1"/>
  <c r="R18" i="13"/>
  <c r="R13" i="13"/>
  <c r="R16" i="13"/>
  <c r="R21" i="13"/>
  <c r="R17" i="13"/>
  <c r="R14" i="13"/>
  <c r="R20" i="13"/>
  <c r="R19" i="13"/>
  <c r="E20" i="13"/>
  <c r="L20" i="13"/>
  <c r="K13" i="13"/>
  <c r="I22" i="13"/>
  <c r="E21" i="13"/>
  <c r="L21" i="13"/>
  <c r="N21" i="13" s="1"/>
  <c r="E16" i="13"/>
  <c r="L16" i="13"/>
  <c r="E15" i="13"/>
  <c r="L15" i="13"/>
  <c r="L13" i="13"/>
  <c r="N13" i="13" s="1"/>
  <c r="E13" i="13"/>
  <c r="E17" i="13"/>
  <c r="L17" i="13"/>
  <c r="N17" i="13" s="1"/>
  <c r="E18" i="13"/>
  <c r="L18" i="13"/>
  <c r="H13" i="13"/>
  <c r="F22" i="13"/>
  <c r="L19" i="13"/>
  <c r="N19" i="13" s="1"/>
  <c r="E19" i="13"/>
  <c r="L14" i="13"/>
  <c r="L14" i="4"/>
  <c r="M14" i="4" s="1"/>
  <c r="J9" i="3"/>
  <c r="J11" i="3" s="1"/>
  <c r="F9" i="3"/>
  <c r="F11" i="3" s="1"/>
  <c r="C9" i="3"/>
  <c r="C11" i="3" s="1"/>
  <c r="L3" i="3"/>
  <c r="L4" i="3"/>
  <c r="L7" i="3"/>
  <c r="N15" i="13" l="1"/>
  <c r="N20" i="13"/>
  <c r="N14" i="13"/>
  <c r="N18" i="13"/>
  <c r="N16" i="13"/>
  <c r="S20" i="13"/>
  <c r="AA20" i="13"/>
  <c r="AB20" i="13" s="1"/>
  <c r="AA16" i="13"/>
  <c r="AB16" i="13" s="1"/>
  <c r="S16" i="13"/>
  <c r="AF31" i="13" s="1"/>
  <c r="AN31" i="13" s="1"/>
  <c r="S14" i="13"/>
  <c r="AA14" i="13"/>
  <c r="AB14" i="13" s="1"/>
  <c r="S13" i="13"/>
  <c r="AF28" i="13" s="1"/>
  <c r="AN28" i="13" s="1"/>
  <c r="R22" i="13"/>
  <c r="AA13" i="13"/>
  <c r="AF35" i="13"/>
  <c r="AN35" i="13" s="1"/>
  <c r="AA17" i="13"/>
  <c r="AB17" i="13" s="1"/>
  <c r="S17" i="13"/>
  <c r="AA18" i="13"/>
  <c r="AB18" i="13" s="1"/>
  <c r="S18" i="13"/>
  <c r="AF33" i="13" s="1"/>
  <c r="AN33" i="13" s="1"/>
  <c r="AF34" i="13"/>
  <c r="AN34" i="13" s="1"/>
  <c r="S19" i="13"/>
  <c r="AA19" i="13"/>
  <c r="AB19" i="13" s="1"/>
  <c r="S21" i="13"/>
  <c r="AF36" i="13" s="1"/>
  <c r="AN36" i="13" s="1"/>
  <c r="AA21" i="13"/>
  <c r="AB21" i="13" s="1"/>
  <c r="AA15" i="13"/>
  <c r="AB15" i="13" s="1"/>
  <c r="S15" i="13"/>
  <c r="AF30" i="13" s="1"/>
  <c r="AN30" i="13" s="1"/>
  <c r="K23" i="13"/>
  <c r="AH28" i="13"/>
  <c r="H23" i="13"/>
  <c r="AG28" i="13"/>
  <c r="L11" i="3"/>
  <c r="L9" i="3"/>
  <c r="I4" i="6"/>
  <c r="I5" i="6"/>
  <c r="I6" i="6"/>
  <c r="I7" i="6"/>
  <c r="I8" i="6"/>
  <c r="I9" i="6"/>
  <c r="I11" i="6"/>
  <c r="I3" i="6"/>
  <c r="U4" i="5"/>
  <c r="U5" i="5"/>
  <c r="U6" i="5"/>
  <c r="U7" i="5"/>
  <c r="U8" i="5"/>
  <c r="U9" i="5"/>
  <c r="U10" i="5"/>
  <c r="U11" i="5"/>
  <c r="U3" i="5"/>
  <c r="U12" i="5" s="1"/>
  <c r="Q12" i="5"/>
  <c r="H10" i="6"/>
  <c r="H12" i="6" s="1"/>
  <c r="AI32" i="13" l="1"/>
  <c r="AI34" i="13"/>
  <c r="AI36" i="13"/>
  <c r="AO36" i="13" s="1"/>
  <c r="AI29" i="13"/>
  <c r="AT29" i="13" s="1"/>
  <c r="AU29" i="13" s="1"/>
  <c r="AI33" i="13"/>
  <c r="D8" i="14" s="1"/>
  <c r="AI35" i="13"/>
  <c r="AT35" i="13" s="1"/>
  <c r="AU35" i="13" s="1"/>
  <c r="AI31" i="13"/>
  <c r="AT31" i="13" s="1"/>
  <c r="AU31" i="13" s="1"/>
  <c r="AI30" i="13"/>
  <c r="AT30" i="13" s="1"/>
  <c r="AU30" i="13" s="1"/>
  <c r="N23" i="13"/>
  <c r="S23" i="13"/>
  <c r="AT34" i="13"/>
  <c r="AU34" i="13" s="1"/>
  <c r="D9" i="14"/>
  <c r="AO35" i="13"/>
  <c r="D10" i="14"/>
  <c r="D7" i="14"/>
  <c r="AT32" i="13"/>
  <c r="AU32" i="13" s="1"/>
  <c r="AO34" i="13"/>
  <c r="AA22" i="13"/>
  <c r="AB13" i="13"/>
  <c r="AF32" i="13"/>
  <c r="AN32" i="13" s="1"/>
  <c r="AO32" i="13" s="1"/>
  <c r="AG37" i="13"/>
  <c r="AP28" i="13"/>
  <c r="AR28" i="13"/>
  <c r="AH37" i="13"/>
  <c r="D5" i="14" l="1"/>
  <c r="AO30" i="13"/>
  <c r="AI28" i="13"/>
  <c r="AT28" i="13" s="1"/>
  <c r="AT36" i="13"/>
  <c r="AU36" i="13" s="1"/>
  <c r="D4" i="14"/>
  <c r="D11" i="14"/>
  <c r="AO31" i="13"/>
  <c r="D6" i="14"/>
  <c r="AT33" i="13"/>
  <c r="AU33" i="13" s="1"/>
  <c r="AO33" i="13"/>
  <c r="AB23" i="13"/>
  <c r="AS28" i="13"/>
  <c r="AR37" i="13"/>
  <c r="AQ28" i="13"/>
  <c r="AP37" i="13"/>
  <c r="C9" i="13"/>
  <c r="T9" i="13"/>
  <c r="Q24" i="13"/>
  <c r="I9" i="13"/>
  <c r="W9" i="13"/>
  <c r="F24" i="13"/>
  <c r="Q9" i="13"/>
  <c r="C24" i="13"/>
  <c r="F9" i="13"/>
  <c r="R10" i="5" l="1"/>
  <c r="J50" i="4"/>
  <c r="L50" i="4" s="1"/>
  <c r="E47" i="4"/>
  <c r="D47" i="4"/>
  <c r="J46" i="4"/>
  <c r="I46" i="4"/>
  <c r="I48" i="4" s="1"/>
  <c r="I52" i="4" s="1"/>
  <c r="H46" i="4"/>
  <c r="G46" i="4"/>
  <c r="F46" i="4"/>
  <c r="E46" i="4"/>
  <c r="E48" i="4" s="1"/>
  <c r="E52" i="4" s="1"/>
  <c r="D46" i="4"/>
  <c r="C46" i="4"/>
  <c r="J45" i="4"/>
  <c r="J44" i="4"/>
  <c r="L44" i="4" s="1"/>
  <c r="K42" i="4"/>
  <c r="K48" i="4" s="1"/>
  <c r="K52" i="4" s="1"/>
  <c r="J42" i="4"/>
  <c r="I42" i="4"/>
  <c r="H42" i="4"/>
  <c r="H48" i="4" s="1"/>
  <c r="H52" i="4" s="1"/>
  <c r="G42" i="4"/>
  <c r="F42" i="4"/>
  <c r="E42" i="4"/>
  <c r="D42" i="4"/>
  <c r="D48" i="4" s="1"/>
  <c r="D52" i="4" s="1"/>
  <c r="C42" i="4"/>
  <c r="J41" i="4"/>
  <c r="L41" i="4" s="1"/>
  <c r="J44" i="3"/>
  <c r="L44" i="3" s="1"/>
  <c r="E41" i="3"/>
  <c r="D41" i="3"/>
  <c r="J40" i="3"/>
  <c r="I40" i="3"/>
  <c r="H40" i="3"/>
  <c r="G40" i="3"/>
  <c r="F40" i="3"/>
  <c r="E40" i="3"/>
  <c r="D40" i="3"/>
  <c r="C40" i="3"/>
  <c r="J39" i="3"/>
  <c r="L39" i="3" s="1"/>
  <c r="J38" i="3"/>
  <c r="L38" i="3" s="1"/>
  <c r="K37" i="3"/>
  <c r="K42" i="3" s="1"/>
  <c r="K46" i="3" s="1"/>
  <c r="J37" i="3"/>
  <c r="I37" i="3"/>
  <c r="H37" i="3"/>
  <c r="G37" i="3"/>
  <c r="F37" i="3"/>
  <c r="F42" i="3" s="1"/>
  <c r="F46" i="3" s="1"/>
  <c r="E37" i="3"/>
  <c r="D37" i="3"/>
  <c r="C37" i="3"/>
  <c r="J36" i="3"/>
  <c r="L46" i="4" l="1"/>
  <c r="C48" i="4"/>
  <c r="C52" i="4" s="1"/>
  <c r="G48" i="4"/>
  <c r="G52" i="4" s="1"/>
  <c r="L47" i="4"/>
  <c r="J48" i="4"/>
  <c r="J52" i="4" s="1"/>
  <c r="F48" i="4"/>
  <c r="F52" i="4" s="1"/>
  <c r="I42" i="3"/>
  <c r="I46" i="3" s="1"/>
  <c r="J42" i="3"/>
  <c r="J46" i="3" s="1"/>
  <c r="L37" i="3"/>
  <c r="L42" i="4"/>
  <c r="L45" i="4"/>
  <c r="D42" i="3"/>
  <c r="D46" i="3" s="1"/>
  <c r="H42" i="3"/>
  <c r="H46" i="3" s="1"/>
  <c r="E42" i="3"/>
  <c r="E46" i="3" s="1"/>
  <c r="C42" i="3"/>
  <c r="C46" i="3" s="1"/>
  <c r="G42" i="3"/>
  <c r="G46" i="3" s="1"/>
  <c r="L41" i="3"/>
  <c r="L40" i="3"/>
  <c r="L36" i="3"/>
  <c r="L52" i="4" l="1"/>
  <c r="M52" i="4" s="1"/>
  <c r="L46" i="3"/>
  <c r="L48" i="4"/>
  <c r="L42" i="3"/>
  <c r="D10" i="6" l="1"/>
  <c r="D12" i="6" s="1"/>
  <c r="M10" i="5"/>
  <c r="J12" i="5"/>
  <c r="M12" i="5"/>
  <c r="I10" i="5"/>
  <c r="I5" i="5"/>
  <c r="I12" i="5" s="1"/>
  <c r="K34" i="4" l="1"/>
  <c r="K58" i="4" s="1"/>
  <c r="J34" i="4"/>
  <c r="G34" i="4"/>
  <c r="G58" i="4" s="1"/>
  <c r="E34" i="4"/>
  <c r="E58" i="4" s="1"/>
  <c r="F34" i="4"/>
  <c r="F58" i="4" s="1"/>
  <c r="H34" i="4"/>
  <c r="H58" i="4" s="1"/>
  <c r="I34" i="4"/>
  <c r="I58" i="4" s="1"/>
  <c r="D34" i="4"/>
  <c r="D58" i="4" s="1"/>
  <c r="C34" i="4"/>
  <c r="J32" i="4"/>
  <c r="L32" i="4" s="1"/>
  <c r="J58" i="4" l="1"/>
  <c r="C58" i="4"/>
  <c r="L34" i="4"/>
  <c r="M34" i="4" s="1"/>
  <c r="L58" i="4" l="1"/>
  <c r="M58" i="4" s="1"/>
  <c r="G10" i="6"/>
  <c r="I10" i="6" s="1"/>
  <c r="I12" i="6" s="1"/>
  <c r="G12" i="6" l="1"/>
  <c r="G25" i="3"/>
  <c r="E25" i="3"/>
  <c r="L25" i="3" s="1"/>
  <c r="K24" i="3"/>
  <c r="I24" i="3"/>
  <c r="H24" i="3"/>
  <c r="G24" i="3"/>
  <c r="F24" i="3"/>
  <c r="E24" i="3"/>
  <c r="D24" i="3"/>
  <c r="C24" i="3"/>
  <c r="J23" i="3"/>
  <c r="L23" i="3" s="1"/>
  <c r="L22" i="3"/>
  <c r="J22" i="3"/>
  <c r="K21" i="3"/>
  <c r="K26" i="3" s="1"/>
  <c r="K28" i="3" s="1"/>
  <c r="K52" i="3" s="1"/>
  <c r="J21" i="3"/>
  <c r="I21" i="3"/>
  <c r="H21" i="3"/>
  <c r="G21" i="3"/>
  <c r="G26" i="3" s="1"/>
  <c r="G28" i="3" s="1"/>
  <c r="G52" i="3" s="1"/>
  <c r="F21" i="3"/>
  <c r="F26" i="3" s="1"/>
  <c r="F28" i="3" s="1"/>
  <c r="F52" i="3" s="1"/>
  <c r="D21" i="3"/>
  <c r="D26" i="3" s="1"/>
  <c r="D28" i="3" s="1"/>
  <c r="D52" i="3" s="1"/>
  <c r="C21" i="3"/>
  <c r="J20" i="3"/>
  <c r="J26" i="3" s="1"/>
  <c r="J28" i="3" s="1"/>
  <c r="J52" i="3" s="1"/>
  <c r="L24" i="3" l="1"/>
  <c r="C26" i="3"/>
  <c r="C28" i="3" s="1"/>
  <c r="C52" i="3" s="1"/>
  <c r="H26" i="3"/>
  <c r="H28" i="3" s="1"/>
  <c r="H52" i="3" s="1"/>
  <c r="E26" i="3"/>
  <c r="E28" i="3" s="1"/>
  <c r="I26" i="3"/>
  <c r="I28" i="3" s="1"/>
  <c r="L20" i="3"/>
  <c r="L21" i="3"/>
  <c r="I52" i="3" l="1"/>
  <c r="L28" i="3"/>
  <c r="E52" i="3"/>
  <c r="L26" i="3"/>
  <c r="L52" i="3" l="1"/>
  <c r="C22" i="13" l="1"/>
  <c r="E14" i="13"/>
  <c r="E23" i="13" s="1"/>
  <c r="AF29" i="13" l="1"/>
  <c r="AF37" i="13" l="1"/>
  <c r="AN29" i="13"/>
  <c r="AN37" i="13" l="1"/>
  <c r="AO29" i="13"/>
  <c r="AI37" i="13"/>
  <c r="AO28" i="13"/>
  <c r="AU28" i="13"/>
  <c r="D3" i="14"/>
  <c r="D12" i="14" s="1"/>
  <c r="AC29" i="13" l="1"/>
  <c r="AD29" i="13" s="1"/>
  <c r="AC33" i="13"/>
  <c r="AD33" i="13" s="1"/>
  <c r="AC28" i="13"/>
  <c r="AC30" i="13"/>
  <c r="AD30" i="13" s="1"/>
  <c r="AC34" i="13"/>
  <c r="AD34" i="13" s="1"/>
  <c r="AC31" i="13"/>
  <c r="AD31" i="13" s="1"/>
  <c r="AC35" i="13"/>
  <c r="AD35" i="13" s="1"/>
  <c r="AC32" i="13"/>
  <c r="AD32" i="13" s="1"/>
  <c r="AC36" i="13"/>
  <c r="AD36" i="13" s="1"/>
  <c r="O34" i="13"/>
  <c r="P34" i="13" s="1"/>
  <c r="O35" i="13"/>
  <c r="P35" i="13" s="1"/>
  <c r="O30" i="13"/>
  <c r="P30" i="13" s="1"/>
  <c r="O36" i="13"/>
  <c r="P36" i="13" s="1"/>
  <c r="O32" i="13"/>
  <c r="P32" i="13" s="1"/>
  <c r="O29" i="13"/>
  <c r="P29" i="13" s="1"/>
  <c r="O33" i="13"/>
  <c r="P33" i="13" s="1"/>
  <c r="O31" i="13"/>
  <c r="P31" i="13" s="1"/>
  <c r="O28" i="13"/>
  <c r="AC21" i="13"/>
  <c r="AD21" i="13" s="1"/>
  <c r="AC16" i="13"/>
  <c r="AD16" i="13" s="1"/>
  <c r="AC15" i="13"/>
  <c r="AD15" i="13" s="1"/>
  <c r="AC17" i="13"/>
  <c r="AD17" i="13" s="1"/>
  <c r="AC19" i="13"/>
  <c r="AD19" i="13" s="1"/>
  <c r="AC20" i="13"/>
  <c r="AD20" i="13" s="1"/>
  <c r="AC18" i="13"/>
  <c r="AD18" i="13" s="1"/>
  <c r="AC14" i="13"/>
  <c r="AD14" i="13" s="1"/>
  <c r="AC13" i="13"/>
  <c r="O13" i="13"/>
  <c r="O19" i="13"/>
  <c r="P19" i="13" s="1"/>
  <c r="O21" i="13"/>
  <c r="P21" i="13" s="1"/>
  <c r="O17" i="13"/>
  <c r="P17" i="13" s="1"/>
  <c r="O18" i="13"/>
  <c r="P18" i="13" s="1"/>
  <c r="AJ33" i="13" s="1"/>
  <c r="O14" i="13"/>
  <c r="P14" i="13" s="1"/>
  <c r="O20" i="13"/>
  <c r="P20" i="13" s="1"/>
  <c r="O15" i="13"/>
  <c r="P15" i="13" s="1"/>
  <c r="O16" i="13"/>
  <c r="P16" i="13" s="1"/>
  <c r="AJ31" i="13" s="1"/>
  <c r="F8" i="14"/>
  <c r="G8" i="14" s="1"/>
  <c r="F10" i="14"/>
  <c r="G10" i="14" s="1"/>
  <c r="F5" i="14"/>
  <c r="G5" i="14" s="1"/>
  <c r="F9" i="14"/>
  <c r="G9" i="14" s="1"/>
  <c r="F6" i="14"/>
  <c r="G6" i="14" s="1"/>
  <c r="F11" i="14"/>
  <c r="G11" i="14" s="1"/>
  <c r="F4" i="14"/>
  <c r="G4" i="14" s="1"/>
  <c r="F7" i="14"/>
  <c r="G7" i="14" s="1"/>
  <c r="AT37" i="13"/>
  <c r="AJ36" i="13" l="1"/>
  <c r="AJ29" i="13"/>
  <c r="AJ34" i="13"/>
  <c r="AJ30" i="13"/>
  <c r="AJ32" i="13"/>
  <c r="AJ35" i="13"/>
  <c r="AC37" i="13"/>
  <c r="AD37" i="13" s="1"/>
  <c r="AD28" i="13"/>
  <c r="AC22" i="13"/>
  <c r="AD22" i="13" s="1"/>
  <c r="AD13" i="13"/>
  <c r="O37" i="13"/>
  <c r="P37" i="13" s="1"/>
  <c r="P28" i="13"/>
  <c r="O22" i="13"/>
  <c r="P22" i="13" s="1"/>
  <c r="P13" i="13"/>
  <c r="H4" i="14"/>
  <c r="M4" i="14"/>
  <c r="M5" i="14"/>
  <c r="H5" i="14"/>
  <c r="M11" i="14"/>
  <c r="H11" i="14"/>
  <c r="I11" i="14" s="1"/>
  <c r="J11" i="14" s="1"/>
  <c r="M10" i="14"/>
  <c r="H10" i="14"/>
  <c r="I10" i="14" s="1"/>
  <c r="J10" i="14" s="1"/>
  <c r="M6" i="14"/>
  <c r="H6" i="14"/>
  <c r="E12" i="14"/>
  <c r="M7" i="14"/>
  <c r="H7" i="14"/>
  <c r="I7" i="14" s="1"/>
  <c r="J7" i="14" s="1"/>
  <c r="M9" i="14"/>
  <c r="H9" i="14"/>
  <c r="H8" i="14"/>
  <c r="M8" i="14"/>
  <c r="AJ28" i="13" l="1"/>
  <c r="AJ37" i="13"/>
  <c r="G3" i="14"/>
  <c r="F12" i="14"/>
  <c r="M3" i="14" l="1"/>
  <c r="M12" i="14" s="1"/>
  <c r="M17" i="14" s="1"/>
  <c r="G12" i="14"/>
  <c r="H3" i="14"/>
</calcChain>
</file>

<file path=xl/sharedStrings.xml><?xml version="1.0" encoding="utf-8"?>
<sst xmlns="http://schemas.openxmlformats.org/spreadsheetml/2006/main" count="928" uniqueCount="171">
  <si>
    <t>Samlet i provstiet %</t>
  </si>
  <si>
    <t>Formål 2, Kirkebygning og sognegård</t>
  </si>
  <si>
    <t xml:space="preserve"> </t>
  </si>
  <si>
    <t>I alt</t>
  </si>
  <si>
    <t>Ansgar</t>
  </si>
  <si>
    <t>Bellahøj-Utterslev</t>
  </si>
  <si>
    <t>Brønshøj</t>
  </si>
  <si>
    <t>Emdrup</t>
  </si>
  <si>
    <t>Grundtvigs</t>
  </si>
  <si>
    <t>Husum</t>
  </si>
  <si>
    <t>Husumvold</t>
  </si>
  <si>
    <t>Kapernaum-Tagensbo</t>
  </si>
  <si>
    <t>Tingbjerg</t>
  </si>
  <si>
    <t>Formål 6, Administration</t>
  </si>
  <si>
    <t>Til sammen-ligning budgetteret i 2016 (excl. SI)</t>
  </si>
  <si>
    <t>Grundbeløb pr. MR (50%)</t>
  </si>
  <si>
    <t>Beløb baseret på antal indbyggere (50%)</t>
  </si>
  <si>
    <t>Beløb baseret på antal gudstj.,hand-linger og mk/ konf. (25%)</t>
  </si>
  <si>
    <t>I alt (excl. SI)</t>
  </si>
  <si>
    <t>Beløb baseret på 'kan'-ting (30%)</t>
  </si>
  <si>
    <t>Beløb baseret på antal 'skal'-ting (70%)</t>
  </si>
  <si>
    <t>Formål 5,</t>
  </si>
  <si>
    <t>Præsteboliger</t>
  </si>
  <si>
    <t>Formål 3, Kirkelige aktiviteter 2015</t>
  </si>
  <si>
    <t>m2</t>
  </si>
  <si>
    <t>Kapernaum</t>
  </si>
  <si>
    <t>Tagensbo</t>
  </si>
  <si>
    <t>Handlinger i kirken</t>
  </si>
  <si>
    <t>Grundtvig</t>
  </si>
  <si>
    <t>Husum-vold</t>
  </si>
  <si>
    <t>I alt i provstiet</t>
  </si>
  <si>
    <t>Gudstjenester x 1</t>
  </si>
  <si>
    <t>Andagter x 1/2</t>
  </si>
  <si>
    <t>Vielser/velsignelser</t>
  </si>
  <si>
    <t>Bisættelser/begravelser</t>
  </si>
  <si>
    <t>Konfirmandhold x 24</t>
  </si>
  <si>
    <t>Minikonfirmandhold x 8</t>
  </si>
  <si>
    <t>Ganget med brøk for antal deltagere - se andet bilag</t>
  </si>
  <si>
    <t>under 6.000 = x1</t>
  </si>
  <si>
    <t>6.000-9.000 = x1,1</t>
  </si>
  <si>
    <t>over 9.000 = x1,2</t>
  </si>
  <si>
    <t>BBP 2015 - til formål 3, 'skal'-ting</t>
  </si>
  <si>
    <t>Gudstjenester andetsteds i sognet x 1</t>
  </si>
  <si>
    <t>antal deltagere</t>
  </si>
  <si>
    <t>Der ganges med 1,1 for antal deltagere over 10.000.</t>
  </si>
  <si>
    <t>Noter:</t>
  </si>
  <si>
    <t>Mødeaktivitet defineres ud fra flg. kriterier:</t>
  </si>
  <si>
    <t>Udlejning tæller ikke med, for lejen skal dække MR's udgifter til evt. ekstra kirketjenerarbejde, el, varme mm.</t>
  </si>
  <si>
    <t>Kun udlån til kirkeligt relaterede ting tæller med, dvs. f.eks. kun kor, hvis det er kirkens ansatte, der leder det.</t>
  </si>
  <si>
    <t>Præstens samtaler hører under standard, som alle kirker har.</t>
  </si>
  <si>
    <t>MR-møder, udvlagsmøder mm. hører under standard, som alle kirker har.</t>
  </si>
  <si>
    <t>Udlån af lokaler ifbm. kirkelige handlinger er MR's egen beslutning og prioritering af midler.</t>
  </si>
  <si>
    <t>Antal deltagere i 'skal'-ting</t>
  </si>
  <si>
    <t>Ganget med brøk for antal deltagere -manuelt indtastet</t>
  </si>
  <si>
    <t>x1,1 hvis &gt;10.000 deltagere</t>
  </si>
  <si>
    <t xml:space="preserve">Antal indbyggere pr. 1. januar </t>
  </si>
  <si>
    <t>Tal i oprindelig udmelding 2017</t>
  </si>
  <si>
    <t>Tal i udmelding 2017</t>
  </si>
  <si>
    <r>
      <t xml:space="preserve">BBP </t>
    </r>
    <r>
      <rPr>
        <b/>
        <sz val="11"/>
        <color theme="1"/>
        <rFont val="Calibri"/>
        <family val="2"/>
        <scheme val="minor"/>
      </rPr>
      <t>2015</t>
    </r>
    <r>
      <rPr>
        <sz val="11"/>
        <color theme="1"/>
        <rFont val="Calibri"/>
        <family val="2"/>
        <scheme val="minor"/>
      </rPr>
      <t xml:space="preserve"> - til formål 2, 'skal'-ting</t>
    </r>
  </si>
  <si>
    <t>BBP 2014</t>
  </si>
  <si>
    <t>2.386-4.197= x1</t>
  </si>
  <si>
    <t>6.991-8.163= x1,1</t>
  </si>
  <si>
    <t>15.622-18.530= x1,2</t>
  </si>
  <si>
    <t>Antal deltagere</t>
  </si>
  <si>
    <t>2014-tal</t>
  </si>
  <si>
    <t>2015-tal, har ikke tal for 2014</t>
  </si>
  <si>
    <t>uden antal for gudst. uden for kirke</t>
  </si>
  <si>
    <t>Gennemsnit 2014-2015</t>
  </si>
  <si>
    <t>Gennemsnit</t>
  </si>
  <si>
    <t>gennemsnit</t>
  </si>
  <si>
    <t>til 2015-tal</t>
  </si>
  <si>
    <t>til 2014-tal</t>
  </si>
  <si>
    <t>Forskel</t>
  </si>
  <si>
    <t>%</t>
  </si>
  <si>
    <t>minus - fået for lidt</t>
  </si>
  <si>
    <t>plus - fået for meget</t>
  </si>
  <si>
    <t xml:space="preserve">Formål 3, Kirkelige aktiviteter </t>
  </si>
  <si>
    <r>
      <t xml:space="preserve">BBP </t>
    </r>
    <r>
      <rPr>
        <b/>
        <sz val="11"/>
        <color theme="1"/>
        <rFont val="Calibri"/>
        <family val="2"/>
        <scheme val="minor"/>
      </rPr>
      <t>2016</t>
    </r>
    <r>
      <rPr>
        <sz val="11"/>
        <color theme="1"/>
        <rFont val="Calibri"/>
        <family val="2"/>
        <scheme val="minor"/>
      </rPr>
      <t xml:space="preserve"> - til formål 2, 'skal'-ting</t>
    </r>
  </si>
  <si>
    <t>BBP 2016 - til formål 3, 'skal'-ting</t>
  </si>
  <si>
    <t xml:space="preserve">Antal koncerter og andre aktiviteter, statistik </t>
  </si>
  <si>
    <t>til 2016-tal</t>
  </si>
  <si>
    <t>tal i statistik</t>
  </si>
  <si>
    <t>Ganget med brøk for antal deltagere - se andet bilag (formål 3 skal)</t>
  </si>
  <si>
    <t>Note for tal i 2016:</t>
  </si>
  <si>
    <t>Statistiktal fra Stiftet. Pkt. 7 (koncerter) og pkt 16 (der er sorteret/fratrukket jf ovenstående noter)</t>
  </si>
  <si>
    <t>Bellahøj-Utterslev er tal for 2015 også i 2016, pga. ombygning har der været et fald i deltagere, som ikke kan tilskrives alm. variation</t>
  </si>
  <si>
    <t>Brøndshøj-Bispebjerg Provsti</t>
  </si>
  <si>
    <t>udg. 2.0/ 14.03.2017</t>
  </si>
  <si>
    <t>ved Johanne Haastrup</t>
  </si>
  <si>
    <t>Kalkulationsark for fordeling af udligningsmidler</t>
  </si>
  <si>
    <t>Primære arealer</t>
  </si>
  <si>
    <t>Sekundære arealer</t>
  </si>
  <si>
    <t>Tertiære arealer</t>
  </si>
  <si>
    <t>Kvartære arealer</t>
  </si>
  <si>
    <r>
      <t xml:space="preserve">Primære arealer er defineret ud fra en </t>
    </r>
    <r>
      <rPr>
        <b/>
        <u/>
        <sz val="10"/>
        <color theme="1"/>
        <rFont val="Calibri (Tekst)"/>
      </rPr>
      <t>daglig brug</t>
    </r>
    <r>
      <rPr>
        <sz val="10"/>
        <color theme="1"/>
        <rFont val="Calibri"/>
        <family val="2"/>
        <scheme val="minor"/>
      </rPr>
      <t xml:space="preserve">, med krav til et </t>
    </r>
    <r>
      <rPr>
        <b/>
        <u/>
        <sz val="10"/>
        <color theme="1"/>
        <rFont val="Calibri (Tekst)"/>
      </rPr>
      <t>høj frekvens af rengøring.</t>
    </r>
    <r>
      <rPr>
        <sz val="10"/>
        <color theme="1"/>
        <rFont val="Calibri"/>
        <family val="2"/>
        <scheme val="minor"/>
      </rPr>
      <t xml:space="preserve"> 
Det er områder med et højt niveau af slid og omkostninger til drift og vedligehold.</t>
    </r>
  </si>
  <si>
    <r>
      <t xml:space="preserve">Sekundære arealer er defineret ud fra en (ca.) </t>
    </r>
    <r>
      <rPr>
        <b/>
        <u/>
        <sz val="10"/>
        <color theme="1"/>
        <rFont val="Calibri (Tekst)"/>
      </rPr>
      <t>ugentlig brug</t>
    </r>
    <r>
      <rPr>
        <sz val="10"/>
        <color theme="1"/>
        <rFont val="Calibri"/>
        <family val="2"/>
        <scheme val="minor"/>
      </rPr>
      <t xml:space="preserve">, med krav til en </t>
    </r>
    <r>
      <rPr>
        <b/>
        <u/>
        <sz val="10"/>
        <color theme="1"/>
        <rFont val="Calibri (Tekst)"/>
      </rPr>
      <t>mindre frekvens af rengøring.</t>
    </r>
    <r>
      <rPr>
        <sz val="10"/>
        <color theme="1"/>
        <rFont val="Calibri"/>
        <family val="2"/>
        <scheme val="minor"/>
      </rPr>
      <t xml:space="preserve"> 
Det er områder medlavere niveau af slid og omkostninger til drift og vedligehold.</t>
    </r>
  </si>
  <si>
    <r>
      <t xml:space="preserve">Tertiære arealer er defineret ud fra en </t>
    </r>
    <r>
      <rPr>
        <b/>
        <u/>
        <sz val="10"/>
        <color theme="1"/>
        <rFont val="Calibri (Tekst)"/>
      </rPr>
      <t>sekundær funktion</t>
    </r>
    <r>
      <rPr>
        <sz val="10"/>
        <color theme="1"/>
        <rFont val="Calibri"/>
        <family val="2"/>
        <scheme val="minor"/>
      </rPr>
      <t xml:space="preserve">, (støtte funktion), med krav til en </t>
    </r>
    <r>
      <rPr>
        <b/>
        <u/>
        <sz val="10"/>
        <color theme="1"/>
        <rFont val="Calibri (Tekst)"/>
      </rPr>
      <t>minimal frekvens af rengøring.</t>
    </r>
    <r>
      <rPr>
        <sz val="10"/>
        <color theme="1"/>
        <rFont val="Calibri"/>
        <family val="2"/>
        <scheme val="minor"/>
      </rPr>
      <t xml:space="preserve"> 
Det er områder med et minimalt niveau af slid og omkostninger til drift og vedligehold. </t>
    </r>
  </si>
  <si>
    <t xml:space="preserve">Kvartære arealer er defineret ud fra arealer, som i dag ikke kvalificerer til udligningsmidler, men hvor der kan være anseelige omkostninger ifm. daglig drift og vedligehold. </t>
  </si>
  <si>
    <t>Udgangspunkt:</t>
  </si>
  <si>
    <t>Kirkerum</t>
  </si>
  <si>
    <t>Pulpitur</t>
  </si>
  <si>
    <t>Depot og lager</t>
  </si>
  <si>
    <t>Udendørsarealer</t>
  </si>
  <si>
    <t>Kontorer</t>
  </si>
  <si>
    <t>Kapeller</t>
  </si>
  <si>
    <t>Varmecentral/teknik</t>
  </si>
  <si>
    <t>Mødelokaler/sale</t>
  </si>
  <si>
    <t>Museer</t>
  </si>
  <si>
    <t>Arkiver</t>
  </si>
  <si>
    <t>Fællesfaciliteter</t>
  </si>
  <si>
    <t>Ligrum</t>
  </si>
  <si>
    <t>Skure</t>
  </si>
  <si>
    <t>Opholdsrum</t>
  </si>
  <si>
    <t>Tårn</t>
  </si>
  <si>
    <t>Våbenhus</t>
  </si>
  <si>
    <t>Lofter</t>
  </si>
  <si>
    <t>Venterum</t>
  </si>
  <si>
    <t>Kisterum</t>
  </si>
  <si>
    <t>Kirke og sognegård under samme tag.</t>
  </si>
  <si>
    <t>Sammentælling</t>
  </si>
  <si>
    <t>Kirke</t>
  </si>
  <si>
    <t>Sognegård</t>
  </si>
  <si>
    <t xml:space="preserve">Fordeling af m2 </t>
  </si>
  <si>
    <t>Tallene baseres på sammentællinger fra ark 'ny m2 rådata'</t>
  </si>
  <si>
    <t>Vægtning</t>
  </si>
  <si>
    <t>kontrol, sum skal være 100</t>
  </si>
  <si>
    <t>sum</t>
  </si>
  <si>
    <t>total i provsti</t>
  </si>
  <si>
    <t>Ny m2Grundbeløb ift. grundareal (75%)</t>
  </si>
  <si>
    <t>Ny m2 Grundbeløb ift. grundareal (75%)</t>
  </si>
  <si>
    <t>Budget 2018</t>
  </si>
  <si>
    <t>Budget 2016</t>
  </si>
  <si>
    <t>Budget 2017</t>
  </si>
  <si>
    <t>Bevilling efter modellen uden fremskrivning</t>
  </si>
  <si>
    <t>Difference ift. bevilling for 2017</t>
  </si>
  <si>
    <t>Foreslået bevilling 2018</t>
  </si>
  <si>
    <t>Foreslået bevilling 2019</t>
  </si>
  <si>
    <t>Foreslået bevilling 2020</t>
  </si>
  <si>
    <t>Foreslået bevilling 2021</t>
  </si>
  <si>
    <t>anlæg/syns-udsatte arbejder 2018</t>
  </si>
  <si>
    <t>Lignings-beløb til drift+anlæg 2018</t>
  </si>
  <si>
    <t>Bevilling BU drift 2018</t>
  </si>
  <si>
    <t>Bevilling BU anlæg 2018</t>
  </si>
  <si>
    <t>Bevilling BU i alt 2018</t>
  </si>
  <si>
    <t>Difference, som foreslås lagt i 5%puljen</t>
  </si>
  <si>
    <t xml:space="preserve">  </t>
  </si>
  <si>
    <t>Faktor for fordeling til kirker, der skal have større bevilling</t>
  </si>
  <si>
    <t>Til næste år</t>
  </si>
  <si>
    <t xml:space="preserve">   </t>
  </si>
  <si>
    <t>Tal bliver ikke nul, da der er ændret på beløb til præsteboliger og der er buffer som ikke indgår ift modelberegningerne foretaget i 2016</t>
  </si>
  <si>
    <t>Note: Bellahøj-Utterslev tal for 2016 er identiske med 2015 grundet ombygning og dermed meget ændret aktivitetsniveau, som ikke er sammenlignelig med andre år.</t>
  </si>
  <si>
    <t>Svarer til % af hvad der skulle være givet</t>
  </si>
  <si>
    <t>Diakonihuset</t>
  </si>
  <si>
    <t>Bevilling, i alt</t>
  </si>
  <si>
    <t>Hospitaltspræster</t>
  </si>
  <si>
    <t>Socialrådgiver</t>
  </si>
  <si>
    <t>Bevilling til fordeling</t>
  </si>
  <si>
    <t>Pct. fordeling</t>
  </si>
  <si>
    <t>Bevilling</t>
  </si>
  <si>
    <t>Model</t>
  </si>
  <si>
    <t xml:space="preserve">I alt </t>
  </si>
  <si>
    <t>Bevilling efter modellen*</t>
  </si>
  <si>
    <t>* tal er fra fanebladet Bispebjerg-Brønshøjmodellen, hvor ligningsbeløb indtastes og beløb beregnes. Bevilling fratrukket særlig bevilling til socialrådgivertjeneste og hospitalspræster før fordeling</t>
  </si>
  <si>
    <t xml:space="preserve">tillægges Brønshøj </t>
  </si>
  <si>
    <t>tillægges Tingbjerg</t>
  </si>
  <si>
    <t>Bispebjerg-Brønshøj Provsti - oversigt over bevillinger 2018-2021</t>
  </si>
  <si>
    <t>Særlige bevillinger#</t>
  </si>
  <si>
    <t># Særlig bevilling til provstiets socialrådgivertjeneste lægges i Tingbjerg.</t>
  </si>
  <si>
    <t># Særlig bevilling til provstiets hospitalspræstebetjening lægges i Brønshøj.</t>
  </si>
  <si>
    <t>vedtaget af PU 050417</t>
  </si>
  <si>
    <t>Bispebjerg-Brønshøjmodellen - bevilling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</si>
</sst>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 * #,##0.00_ ;_ * \-#,##0.00_ ;_ * &quot;-&quot;??_ ;_ @_ "/>
    <numFmt numFmtId="165" formatCode="_ * #,##0_ ;_ * \-#,##0_ ;_ * &quot;-&quot;??_ ;_ @_ "/>
    <numFmt numFmtId="166" formatCode="_ * #,##0.0000_ ;_ * \-#,##0.0000_ ;_ * &quot;-&quot;??_ ;_ @_ "/>
    <numFmt numFmtId="167" formatCode="_ * #,##0.00000_ ;_ * \-#,##0.00000_ ;_ * &quot;-&quot;??_ ;_ @_ "/>
    <numFmt numFmtId="168" formatCode="0.0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u/>
      <sz val="10"/>
      <color theme="1"/>
      <name val="Calibri (Tekst)"/>
    </font>
    <font>
      <u/>
      <sz val="10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10"/>
      <color indexed="8"/>
      <name val="Calibri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0">
    <xf numFmtId="0" fontId="0" fillId="0" borderId="0" xfId="0"/>
    <xf numFmtId="165" fontId="0" fillId="0" borderId="0" xfId="1" applyNumberFormat="1" applyFont="1"/>
    <xf numFmtId="0" fontId="2" fillId="0" borderId="0" xfId="0" applyFont="1"/>
    <xf numFmtId="1" fontId="2" fillId="0" borderId="0" xfId="0" applyNumberFormat="1" applyFont="1"/>
    <xf numFmtId="165" fontId="2" fillId="0" borderId="0" xfId="1" applyNumberFormat="1" applyFont="1"/>
    <xf numFmtId="0" fontId="0" fillId="0" borderId="0" xfId="0" applyFont="1"/>
    <xf numFmtId="0" fontId="2" fillId="0" borderId="0" xfId="0" applyFont="1" applyAlignment="1">
      <alignment horizontal="left" wrapText="1"/>
    </xf>
    <xf numFmtId="0" fontId="0" fillId="0" borderId="0" xfId="0" applyFont="1" applyAlignment="1">
      <alignment horizontal="left"/>
    </xf>
    <xf numFmtId="2" fontId="0" fillId="0" borderId="0" xfId="0" applyNumberFormat="1" applyFont="1"/>
    <xf numFmtId="0" fontId="5" fillId="0" borderId="0" xfId="0" applyFont="1"/>
    <xf numFmtId="0" fontId="0" fillId="0" borderId="0" xfId="0" applyAlignment="1">
      <alignment wrapText="1"/>
    </xf>
    <xf numFmtId="1" fontId="0" fillId="0" borderId="0" xfId="0" applyNumberFormat="1"/>
    <xf numFmtId="0" fontId="0" fillId="0" borderId="0" xfId="0" applyAlignment="1">
      <alignment vertical="top" wrapText="1"/>
    </xf>
    <xf numFmtId="3" fontId="0" fillId="0" borderId="0" xfId="0" applyNumberFormat="1"/>
    <xf numFmtId="0" fontId="5" fillId="0" borderId="0" xfId="0" applyFont="1" applyAlignment="1">
      <alignment vertical="center" wrapText="1"/>
    </xf>
    <xf numFmtId="165" fontId="0" fillId="0" borderId="0" xfId="0" applyNumberFormat="1"/>
    <xf numFmtId="0" fontId="6" fillId="0" borderId="0" xfId="0" applyFont="1"/>
    <xf numFmtId="3" fontId="6" fillId="0" borderId="0" xfId="0" applyNumberFormat="1" applyFont="1" applyFill="1"/>
    <xf numFmtId="3" fontId="6" fillId="0" borderId="0" xfId="0" applyNumberFormat="1" applyFont="1"/>
    <xf numFmtId="0" fontId="0" fillId="2" borderId="0" xfId="0" applyFont="1" applyFill="1"/>
    <xf numFmtId="165" fontId="0" fillId="2" borderId="0" xfId="0" applyNumberFormat="1" applyFont="1" applyFill="1"/>
    <xf numFmtId="0" fontId="0" fillId="3" borderId="0" xfId="0" applyFont="1" applyFill="1"/>
    <xf numFmtId="0" fontId="0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 wrapText="1"/>
    </xf>
    <xf numFmtId="165" fontId="0" fillId="0" borderId="0" xfId="1" applyNumberFormat="1" applyFont="1" applyFill="1"/>
    <xf numFmtId="165" fontId="2" fillId="0" borderId="0" xfId="1" applyNumberFormat="1" applyFont="1" applyFill="1"/>
    <xf numFmtId="0" fontId="0" fillId="0" borderId="0" xfId="0" applyFont="1" applyFill="1" applyAlignment="1">
      <alignment horizontal="left"/>
    </xf>
    <xf numFmtId="165" fontId="0" fillId="3" borderId="0" xfId="0" applyNumberFormat="1" applyFont="1" applyFill="1"/>
    <xf numFmtId="0" fontId="0" fillId="0" borderId="0" xfId="0" applyFont="1" applyFill="1" applyBorder="1"/>
    <xf numFmtId="0" fontId="2" fillId="0" borderId="0" xfId="0" applyNumberFormat="1" applyFont="1" applyFill="1" applyBorder="1"/>
    <xf numFmtId="0" fontId="0" fillId="0" borderId="0" xfId="0" applyFont="1" applyAlignment="1">
      <alignment vertical="top" wrapText="1"/>
    </xf>
    <xf numFmtId="0" fontId="0" fillId="0" borderId="0" xfId="0" applyFont="1" applyAlignment="1">
      <alignment vertical="top"/>
    </xf>
    <xf numFmtId="0" fontId="0" fillId="4" borderId="0" xfId="0" applyFont="1" applyFill="1"/>
    <xf numFmtId="165" fontId="0" fillId="4" borderId="0" xfId="0" applyNumberFormat="1" applyFont="1" applyFill="1"/>
    <xf numFmtId="1" fontId="0" fillId="0" borderId="0" xfId="0" applyNumberFormat="1" applyFill="1"/>
    <xf numFmtId="0" fontId="8" fillId="0" borderId="0" xfId="0" applyFont="1"/>
    <xf numFmtId="0" fontId="9" fillId="0" borderId="0" xfId="0" applyFont="1" applyAlignment="1">
      <alignment horizontal="right" vertical="top"/>
    </xf>
    <xf numFmtId="0" fontId="9" fillId="0" borderId="0" xfId="0" applyFont="1"/>
    <xf numFmtId="0" fontId="10" fillId="5" borderId="0" xfId="0" applyFont="1" applyFill="1" applyAlignment="1">
      <alignment horizontal="center" vertical="top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12" fillId="0" borderId="4" xfId="0" applyFont="1" applyBorder="1"/>
    <xf numFmtId="0" fontId="12" fillId="0" borderId="0" xfId="0" applyFont="1" applyBorder="1"/>
    <xf numFmtId="0" fontId="13" fillId="0" borderId="5" xfId="0" applyFont="1" applyBorder="1"/>
    <xf numFmtId="0" fontId="9" fillId="0" borderId="0" xfId="0" applyFont="1" applyBorder="1"/>
    <xf numFmtId="0" fontId="0" fillId="0" borderId="5" xfId="0" applyBorder="1"/>
    <xf numFmtId="0" fontId="9" fillId="0" borderId="4" xfId="0" applyFont="1" applyBorder="1"/>
    <xf numFmtId="0" fontId="9" fillId="0" borderId="5" xfId="0" applyFont="1" applyBorder="1"/>
    <xf numFmtId="0" fontId="9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2" fillId="5" borderId="9" xfId="0" applyFont="1" applyFill="1" applyBorder="1"/>
    <xf numFmtId="0" fontId="2" fillId="5" borderId="10" xfId="0" applyFont="1" applyFill="1" applyBorder="1"/>
    <xf numFmtId="0" fontId="9" fillId="5" borderId="10" xfId="0" applyFont="1" applyFill="1" applyBorder="1"/>
    <xf numFmtId="0" fontId="2" fillId="5" borderId="11" xfId="0" applyFont="1" applyFill="1" applyBorder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14" fillId="0" borderId="5" xfId="0" applyFont="1" applyBorder="1"/>
    <xf numFmtId="0" fontId="9" fillId="0" borderId="7" xfId="0" applyFont="1" applyBorder="1"/>
    <xf numFmtId="0" fontId="14" fillId="0" borderId="8" xfId="0" applyFont="1" applyBorder="1"/>
    <xf numFmtId="0" fontId="2" fillId="0" borderId="0" xfId="0" applyFont="1" applyBorder="1"/>
    <xf numFmtId="0" fontId="7" fillId="0" borderId="0" xfId="0" applyFont="1" applyAlignment="1"/>
    <xf numFmtId="0" fontId="0" fillId="0" borderId="0" xfId="0" applyFill="1"/>
    <xf numFmtId="2" fontId="14" fillId="0" borderId="8" xfId="0" applyNumberFormat="1" applyFont="1" applyBorder="1"/>
    <xf numFmtId="0" fontId="15" fillId="0" borderId="0" xfId="0" applyFont="1"/>
    <xf numFmtId="164" fontId="17" fillId="0" borderId="12" xfId="1" applyFont="1" applyBorder="1" applyAlignment="1">
      <alignment horizontal="left" wrapText="1"/>
    </xf>
    <xf numFmtId="165" fontId="17" fillId="0" borderId="12" xfId="1" applyNumberFormat="1" applyFont="1" applyBorder="1" applyAlignment="1">
      <alignment horizontal="left" wrapText="1"/>
    </xf>
    <xf numFmtId="164" fontId="17" fillId="0" borderId="11" xfId="1" applyFont="1" applyBorder="1" applyAlignment="1">
      <alignment horizontal="left" wrapText="1"/>
    </xf>
    <xf numFmtId="165" fontId="17" fillId="0" borderId="12" xfId="1" applyNumberFormat="1" applyFont="1" applyFill="1" applyBorder="1" applyAlignment="1">
      <alignment horizontal="left" wrapText="1"/>
    </xf>
    <xf numFmtId="165" fontId="17" fillId="0" borderId="12" xfId="1" applyNumberFormat="1" applyFont="1" applyBorder="1" applyAlignment="1">
      <alignment horizontal="right"/>
    </xf>
    <xf numFmtId="165" fontId="0" fillId="0" borderId="12" xfId="1" applyNumberFormat="1" applyFont="1" applyBorder="1"/>
    <xf numFmtId="165" fontId="17" fillId="0" borderId="12" xfId="1" applyNumberFormat="1" applyFont="1" applyBorder="1" applyAlignment="1">
      <alignment horizontal="right" wrapText="1"/>
    </xf>
    <xf numFmtId="165" fontId="0" fillId="0" borderId="12" xfId="0" applyNumberFormat="1" applyFont="1" applyBorder="1" applyAlignment="1">
      <alignment horizontal="right"/>
    </xf>
    <xf numFmtId="165" fontId="1" fillId="0" borderId="12" xfId="0" applyNumberFormat="1" applyFont="1" applyBorder="1" applyAlignment="1">
      <alignment horizontal="right"/>
    </xf>
    <xf numFmtId="165" fontId="18" fillId="0" borderId="12" xfId="1" applyNumberFormat="1" applyFont="1" applyBorder="1" applyAlignment="1">
      <alignment horizontal="right" wrapText="1"/>
    </xf>
    <xf numFmtId="3" fontId="19" fillId="0" borderId="11" xfId="0" applyNumberFormat="1" applyFont="1" applyBorder="1" applyAlignment="1">
      <alignment horizontal="right" vertical="center" wrapText="1"/>
    </xf>
    <xf numFmtId="165" fontId="18" fillId="0" borderId="11" xfId="1" applyNumberFormat="1" applyFont="1" applyBorder="1" applyAlignment="1">
      <alignment horizontal="right" wrapText="1"/>
    </xf>
    <xf numFmtId="165" fontId="2" fillId="0" borderId="12" xfId="0" applyNumberFormat="1" applyFont="1" applyBorder="1" applyAlignment="1">
      <alignment horizontal="right"/>
    </xf>
    <xf numFmtId="165" fontId="20" fillId="0" borderId="0" xfId="1" applyNumberFormat="1" applyFont="1" applyAlignment="1"/>
    <xf numFmtId="165" fontId="20" fillId="0" borderId="0" xfId="1" applyNumberFormat="1" applyFont="1" applyAlignment="1">
      <alignment horizontal="right"/>
    </xf>
    <xf numFmtId="165" fontId="0" fillId="0" borderId="0" xfId="1" applyNumberFormat="1" applyFont="1" applyAlignment="1"/>
    <xf numFmtId="165" fontId="1" fillId="0" borderId="0" xfId="1" applyNumberFormat="1" applyFont="1" applyAlignment="1">
      <alignment horizontal="right"/>
    </xf>
    <xf numFmtId="165" fontId="4" fillId="0" borderId="0" xfId="1" applyNumberFormat="1" applyFont="1" applyAlignment="1">
      <alignment horizontal="right"/>
    </xf>
    <xf numFmtId="165" fontId="21" fillId="0" borderId="13" xfId="1" applyNumberFormat="1" applyFont="1" applyBorder="1" applyAlignment="1">
      <alignment horizontal="right"/>
    </xf>
    <xf numFmtId="164" fontId="22" fillId="0" borderId="0" xfId="1" applyFont="1"/>
    <xf numFmtId="165" fontId="23" fillId="0" borderId="0" xfId="1" applyNumberFormat="1" applyFont="1"/>
    <xf numFmtId="164" fontId="23" fillId="0" borderId="0" xfId="1" applyFont="1"/>
    <xf numFmtId="164" fontId="24" fillId="0" borderId="0" xfId="1" applyFont="1"/>
    <xf numFmtId="165" fontId="17" fillId="0" borderId="0" xfId="1" applyNumberFormat="1" applyFont="1" applyBorder="1" applyAlignment="1">
      <alignment horizontal="right"/>
    </xf>
    <xf numFmtId="164" fontId="0" fillId="0" borderId="0" xfId="0" applyNumberFormat="1"/>
    <xf numFmtId="166" fontId="0" fillId="0" borderId="0" xfId="0" applyNumberFormat="1"/>
    <xf numFmtId="167" fontId="0" fillId="0" borderId="0" xfId="0" applyNumberFormat="1"/>
    <xf numFmtId="166" fontId="20" fillId="0" borderId="0" xfId="1" applyNumberFormat="1" applyFont="1" applyAlignment="1">
      <alignment horizontal="right"/>
    </xf>
    <xf numFmtId="0" fontId="2" fillId="0" borderId="0" xfId="0" applyFont="1" applyFill="1" applyBorder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top" wrapText="1"/>
    </xf>
    <xf numFmtId="0" fontId="0" fillId="0" borderId="0" xfId="0" applyFont="1" applyFill="1" applyAlignment="1">
      <alignment horizontal="left" wrapText="1"/>
    </xf>
    <xf numFmtId="165" fontId="2" fillId="0" borderId="0" xfId="0" applyNumberFormat="1" applyFont="1" applyFill="1"/>
    <xf numFmtId="165" fontId="0" fillId="0" borderId="0" xfId="0" applyNumberFormat="1" applyFont="1" applyFill="1"/>
    <xf numFmtId="0" fontId="0" fillId="0" borderId="0" xfId="0" applyFont="1" applyFill="1" applyAlignment="1">
      <alignment vertical="top" wrapText="1"/>
    </xf>
    <xf numFmtId="0" fontId="2" fillId="0" borderId="0" xfId="1" applyNumberFormat="1" applyFont="1" applyFill="1"/>
    <xf numFmtId="165" fontId="2" fillId="0" borderId="0" xfId="1" applyNumberFormat="1" applyFont="1" applyFill="1" applyAlignment="1">
      <alignment horizontal="left" wrapText="1"/>
    </xf>
    <xf numFmtId="0" fontId="3" fillId="0" borderId="0" xfId="0" applyFont="1" applyFill="1" applyAlignment="1">
      <alignment horizontal="left" wrapText="1"/>
    </xf>
    <xf numFmtId="1" fontId="2" fillId="0" borderId="0" xfId="0" applyNumberFormat="1" applyFont="1" applyFill="1"/>
    <xf numFmtId="165" fontId="0" fillId="0" borderId="0" xfId="1" applyNumberFormat="1" applyFont="1" applyFill="1" applyAlignment="1">
      <alignment horizontal="left"/>
    </xf>
    <xf numFmtId="165" fontId="2" fillId="0" borderId="0" xfId="1" applyNumberFormat="1" applyFont="1" applyFill="1" applyAlignment="1">
      <alignment horizontal="left"/>
    </xf>
    <xf numFmtId="0" fontId="2" fillId="0" borderId="0" xfId="1" applyNumberFormat="1" applyFont="1" applyFill="1" applyAlignment="1">
      <alignment horizontal="left"/>
    </xf>
    <xf numFmtId="164" fontId="0" fillId="0" borderId="0" xfId="1" applyFont="1" applyFill="1"/>
    <xf numFmtId="164" fontId="2" fillId="0" borderId="0" xfId="1" applyFont="1" applyFill="1"/>
    <xf numFmtId="168" fontId="0" fillId="0" borderId="0" xfId="0" applyNumberFormat="1"/>
    <xf numFmtId="0" fontId="0" fillId="0" borderId="0" xfId="0" applyAlignment="1">
      <alignment horizontal="right"/>
    </xf>
    <xf numFmtId="164" fontId="16" fillId="0" borderId="9" xfId="1" applyFont="1" applyFill="1" applyBorder="1" applyAlignment="1">
      <alignment wrapText="1"/>
    </xf>
    <xf numFmtId="164" fontId="0" fillId="0" borderId="12" xfId="1" applyFont="1" applyFill="1" applyBorder="1" applyAlignment="1">
      <alignment wrapText="1"/>
    </xf>
    <xf numFmtId="164" fontId="17" fillId="0" borderId="10" xfId="1" applyFont="1" applyFill="1" applyBorder="1" applyAlignment="1">
      <alignment horizontal="left" wrapText="1"/>
    </xf>
    <xf numFmtId="164" fontId="17" fillId="0" borderId="12" xfId="1" applyFont="1" applyFill="1" applyBorder="1" applyAlignment="1">
      <alignment horizontal="left" wrapText="1"/>
    </xf>
    <xf numFmtId="164" fontId="17" fillId="0" borderId="12" xfId="1" applyFont="1" applyFill="1" applyBorder="1" applyAlignment="1"/>
    <xf numFmtId="165" fontId="1" fillId="0" borderId="12" xfId="1" applyNumberFormat="1" applyFont="1" applyFill="1" applyBorder="1"/>
    <xf numFmtId="165" fontId="17" fillId="0" borderId="12" xfId="1" applyNumberFormat="1" applyFont="1" applyFill="1" applyBorder="1" applyAlignment="1">
      <alignment horizontal="right"/>
    </xf>
    <xf numFmtId="165" fontId="0" fillId="0" borderId="12" xfId="1" applyNumberFormat="1" applyFont="1" applyFill="1" applyBorder="1"/>
    <xf numFmtId="164" fontId="17" fillId="0" borderId="12" xfId="1" applyFont="1" applyFill="1" applyBorder="1" applyAlignment="1">
      <alignment wrapText="1"/>
    </xf>
    <xf numFmtId="165" fontId="17" fillId="0" borderId="12" xfId="1" applyNumberFormat="1" applyFont="1" applyFill="1" applyBorder="1" applyAlignment="1">
      <alignment horizontal="right" wrapText="1"/>
    </xf>
    <xf numFmtId="165" fontId="18" fillId="0" borderId="12" xfId="1" applyNumberFormat="1" applyFont="1" applyFill="1" applyBorder="1" applyAlignment="1">
      <alignment wrapText="1"/>
    </xf>
    <xf numFmtId="165" fontId="2" fillId="0" borderId="12" xfId="1" applyNumberFormat="1" applyFont="1" applyFill="1" applyBorder="1"/>
    <xf numFmtId="165" fontId="18" fillId="0" borderId="12" xfId="1" applyNumberFormat="1" applyFont="1" applyFill="1" applyBorder="1" applyAlignment="1">
      <alignment horizontal="right" wrapText="1"/>
    </xf>
    <xf numFmtId="3" fontId="19" fillId="0" borderId="11" xfId="0" applyNumberFormat="1" applyFont="1" applyFill="1" applyBorder="1" applyAlignment="1">
      <alignment horizontal="right" vertical="center" wrapText="1"/>
    </xf>
    <xf numFmtId="0" fontId="2" fillId="0" borderId="0" xfId="0" applyFont="1" applyAlignment="1"/>
    <xf numFmtId="0" fontId="0" fillId="0" borderId="0" xfId="0" applyFont="1" applyAlignment="1"/>
    <xf numFmtId="0" fontId="2" fillId="6" borderId="0" xfId="0" applyFont="1" applyFill="1" applyAlignment="1">
      <alignment horizontal="left" wrapText="1"/>
    </xf>
    <xf numFmtId="164" fontId="0" fillId="6" borderId="0" xfId="1" applyNumberFormat="1" applyFont="1" applyFill="1"/>
    <xf numFmtId="165" fontId="0" fillId="6" borderId="0" xfId="1" applyNumberFormat="1" applyFont="1" applyFill="1"/>
    <xf numFmtId="165" fontId="2" fillId="6" borderId="0" xfId="1" applyNumberFormat="1" applyFont="1" applyFill="1"/>
    <xf numFmtId="165" fontId="2" fillId="6" borderId="0" xfId="1" applyNumberFormat="1" applyFont="1" applyFill="1" applyAlignment="1">
      <alignment horizontal="left"/>
    </xf>
    <xf numFmtId="0" fontId="2" fillId="6" borderId="0" xfId="1" applyNumberFormat="1" applyFont="1" applyFill="1" applyAlignment="1">
      <alignment horizontal="left"/>
    </xf>
    <xf numFmtId="165" fontId="2" fillId="6" borderId="0" xfId="1" applyNumberFormat="1" applyFont="1" applyFill="1" applyAlignment="1">
      <alignment horizontal="left" wrapText="1"/>
    </xf>
    <xf numFmtId="0" fontId="25" fillId="0" borderId="0" xfId="0" applyFont="1" applyFill="1"/>
    <xf numFmtId="165" fontId="25" fillId="0" borderId="0" xfId="1" applyNumberFormat="1" applyFont="1" applyFill="1"/>
    <xf numFmtId="165" fontId="26" fillId="0" borderId="0" xfId="1" applyNumberFormat="1" applyFont="1" applyFill="1"/>
    <xf numFmtId="0" fontId="25" fillId="0" borderId="0" xfId="0" applyFont="1" applyFill="1" applyAlignment="1">
      <alignment horizontal="left"/>
    </xf>
    <xf numFmtId="0" fontId="26" fillId="0" borderId="0" xfId="0" applyFont="1" applyFill="1"/>
    <xf numFmtId="0" fontId="26" fillId="0" borderId="0" xfId="0" applyFont="1" applyFill="1" applyAlignment="1">
      <alignment horizontal="left" wrapText="1"/>
    </xf>
    <xf numFmtId="165" fontId="3" fillId="0" borderId="0" xfId="1" applyNumberFormat="1" applyFont="1" applyAlignment="1">
      <alignment horizontal="right"/>
    </xf>
    <xf numFmtId="0" fontId="0" fillId="0" borderId="0" xfId="0" applyFont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0" fillId="0" borderId="7" xfId="0" applyFont="1" applyBorder="1" applyAlignment="1">
      <alignment horizontal="left" vertical="top" wrapText="1"/>
    </xf>
    <xf numFmtId="0" fontId="0" fillId="0" borderId="8" xfId="0" applyFont="1" applyBorder="1" applyAlignment="1">
      <alignment horizontal="left" vertical="top" wrapText="1"/>
    </xf>
    <xf numFmtId="0" fontId="10" fillId="5" borderId="0" xfId="0" applyFont="1" applyFill="1" applyAlignment="1">
      <alignment horizontal="center" vertical="top"/>
    </xf>
    <xf numFmtId="0" fontId="9" fillId="0" borderId="4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zoomScale="90" zoomScaleNormal="90" workbookViewId="0">
      <selection activeCell="A21" sqref="A21"/>
    </sheetView>
  </sheetViews>
  <sheetFormatPr defaultRowHeight="15"/>
  <cols>
    <col min="1" max="1" width="22" customWidth="1"/>
    <col min="2" max="2" width="18.85546875" customWidth="1"/>
    <col min="3" max="3" width="14.5703125" customWidth="1"/>
    <col min="4" max="5" width="15" customWidth="1"/>
    <col min="6" max="6" width="11.28515625" customWidth="1"/>
    <col min="7" max="7" width="15.5703125" customWidth="1"/>
    <col min="8" max="8" width="14.140625" customWidth="1"/>
    <col min="9" max="10" width="13.85546875" customWidth="1"/>
    <col min="11" max="11" width="10.7109375" customWidth="1"/>
    <col min="12" max="12" width="12.42578125" customWidth="1"/>
    <col min="13" max="13" width="14" customWidth="1"/>
    <col min="15" max="15" width="10" bestFit="1" customWidth="1"/>
  </cols>
  <sheetData>
    <row r="1" spans="1:15" ht="21">
      <c r="A1" s="68" t="s">
        <v>165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5" ht="60">
      <c r="A2" s="115" t="s">
        <v>130</v>
      </c>
      <c r="B2" s="116" t="s">
        <v>131</v>
      </c>
      <c r="C2" s="117" t="s">
        <v>132</v>
      </c>
      <c r="D2" s="118" t="s">
        <v>133</v>
      </c>
      <c r="E2" s="118" t="s">
        <v>161</v>
      </c>
      <c r="F2" s="118" t="s">
        <v>134</v>
      </c>
      <c r="G2" s="118" t="s">
        <v>135</v>
      </c>
      <c r="H2" s="69" t="s">
        <v>136</v>
      </c>
      <c r="I2" s="69" t="s">
        <v>137</v>
      </c>
      <c r="J2" s="69" t="s">
        <v>138</v>
      </c>
      <c r="K2" s="70" t="s">
        <v>166</v>
      </c>
      <c r="L2" s="71" t="s">
        <v>139</v>
      </c>
      <c r="M2" s="72" t="s">
        <v>140</v>
      </c>
    </row>
    <row r="3" spans="1:15">
      <c r="A3" s="119" t="s">
        <v>4</v>
      </c>
      <c r="B3" s="120">
        <v>3876083</v>
      </c>
      <c r="C3" s="121">
        <v>3847877.375</v>
      </c>
      <c r="D3" s="122">
        <f>'Bispebjerg-Brønshøj-modellen'!AI28</f>
        <v>3805563.3108308557</v>
      </c>
      <c r="E3" s="122">
        <f>'Bispebjerg-Brønshøj-modellen'!AJ28</f>
        <v>3965685.9247283931</v>
      </c>
      <c r="F3" s="122">
        <f>E3-C3</f>
        <v>117808.54972839309</v>
      </c>
      <c r="G3" s="122">
        <f>C3+(F3/$D$25)</f>
        <v>3922766.7969874088</v>
      </c>
      <c r="H3" s="74">
        <f>G3+(F3*$E$25)</f>
        <v>3965685.9247283931</v>
      </c>
      <c r="I3" s="74"/>
      <c r="J3" s="74"/>
      <c r="K3" s="73"/>
      <c r="L3" s="75">
        <v>0</v>
      </c>
      <c r="M3" s="76">
        <f t="shared" ref="M3:M11" si="0">G3+K3+L3</f>
        <v>3922766.7969874088</v>
      </c>
      <c r="O3" s="15"/>
    </row>
    <row r="4" spans="1:15">
      <c r="A4" s="123" t="s">
        <v>5</v>
      </c>
      <c r="B4" s="120">
        <v>5363731</v>
      </c>
      <c r="C4" s="124">
        <v>5542139.125</v>
      </c>
      <c r="D4" s="122">
        <f>'Bispebjerg-Brønshøj-modellen'!AI29</f>
        <v>5504877.0741128009</v>
      </c>
      <c r="E4" s="122">
        <f>'Bispebjerg-Brønshøj-modellen'!AJ29</f>
        <v>5736499.8942569029</v>
      </c>
      <c r="F4" s="122">
        <f>E4-C4</f>
        <v>194360.76925690286</v>
      </c>
      <c r="G4" s="122">
        <f>C4+(F4/$D$25)</f>
        <v>5665691.835734793</v>
      </c>
      <c r="H4" s="74">
        <f>G4+(F4*$E$25)</f>
        <v>5736499.8942569029</v>
      </c>
      <c r="I4" s="74"/>
      <c r="J4" s="74"/>
      <c r="K4" s="73"/>
      <c r="L4" s="75">
        <v>139000</v>
      </c>
      <c r="M4" s="77">
        <f t="shared" si="0"/>
        <v>5804691.835734793</v>
      </c>
      <c r="O4" s="15"/>
    </row>
    <row r="5" spans="1:15">
      <c r="A5" s="123" t="s">
        <v>6</v>
      </c>
      <c r="B5" s="120">
        <v>5040350</v>
      </c>
      <c r="C5" s="124">
        <v>5327146.25</v>
      </c>
      <c r="D5" s="122">
        <f>'Bispebjerg-Brønshøj-modellen'!AI30</f>
        <v>5719901.7258959543</v>
      </c>
      <c r="E5" s="122">
        <f>'Bispebjerg-Brønshøj-modellen'!AJ30</f>
        <v>5960571.9081475092</v>
      </c>
      <c r="F5" s="122">
        <f>E5-C5</f>
        <v>633425.65814750921</v>
      </c>
      <c r="G5" s="122">
        <f>C5+(F5/$D$25)</f>
        <v>5729807.0205470147</v>
      </c>
      <c r="H5" s="74">
        <f>G5+(F5*$E$25)</f>
        <v>5960571.9081475092</v>
      </c>
      <c r="I5" s="74"/>
      <c r="J5" s="74"/>
      <c r="K5" s="73">
        <v>95000</v>
      </c>
      <c r="L5" s="75">
        <v>2000000</v>
      </c>
      <c r="M5" s="77">
        <f t="shared" si="0"/>
        <v>7824807.0205470147</v>
      </c>
      <c r="O5" s="15"/>
    </row>
    <row r="6" spans="1:15">
      <c r="A6" s="123" t="s">
        <v>7</v>
      </c>
      <c r="B6" s="120">
        <v>3474834</v>
      </c>
      <c r="C6" s="124">
        <v>3522573.375</v>
      </c>
      <c r="D6" s="122">
        <f>'Bispebjerg-Brønshøj-modellen'!AI31</f>
        <v>3737949.8032291802</v>
      </c>
      <c r="E6" s="122">
        <f>'Bispebjerg-Brønshøj-modellen'!AJ31</f>
        <v>3895227.5159418788</v>
      </c>
      <c r="F6" s="122">
        <f t="shared" ref="F6:F11" si="1">E6-C6</f>
        <v>372654.14094187878</v>
      </c>
      <c r="G6" s="122">
        <f>C6+(F6/$D$25)</f>
        <v>3759464.952739418</v>
      </c>
      <c r="H6" s="74">
        <f>G6+(F6*$E$25)</f>
        <v>3895227.5159418788</v>
      </c>
      <c r="I6" s="74"/>
      <c r="J6" s="74"/>
      <c r="K6" s="73"/>
      <c r="L6" s="75">
        <v>0</v>
      </c>
      <c r="M6" s="77">
        <f t="shared" si="0"/>
        <v>3759464.952739418</v>
      </c>
      <c r="O6" s="15"/>
    </row>
    <row r="7" spans="1:15">
      <c r="A7" s="123" t="s">
        <v>8</v>
      </c>
      <c r="B7" s="120">
        <v>7021987</v>
      </c>
      <c r="C7" s="124">
        <v>6997482.75</v>
      </c>
      <c r="D7" s="122">
        <f>'Bispebjerg-Brønshøj-modellen'!AI32</f>
        <v>6568292.2761207232</v>
      </c>
      <c r="E7" s="122">
        <f>'Bispebjerg-Brønshøj-modellen'!AJ32</f>
        <v>6844659.2794240601</v>
      </c>
      <c r="F7" s="122">
        <f t="shared" si="1"/>
        <v>-152823.47057593986</v>
      </c>
      <c r="G7" s="122">
        <f t="shared" ref="G7:G11" si="2">C7+(F7/4)</f>
        <v>6959276.882356015</v>
      </c>
      <c r="H7" s="74">
        <f t="shared" ref="H7:H11" si="3">G7+(F7/4)</f>
        <v>6921071.0147120301</v>
      </c>
      <c r="I7" s="74">
        <f t="shared" ref="I7:I11" si="4">H7+(F7/4)</f>
        <v>6882865.1470680451</v>
      </c>
      <c r="J7" s="74">
        <f t="shared" ref="J7:J11" si="5">I7+(F7/4)</f>
        <v>6844659.2794240601</v>
      </c>
      <c r="K7" s="73"/>
      <c r="L7" s="75">
        <v>0</v>
      </c>
      <c r="M7" s="77">
        <f t="shared" si="0"/>
        <v>6959276.882356015</v>
      </c>
      <c r="O7" s="15"/>
    </row>
    <row r="8" spans="1:15">
      <c r="A8" s="119" t="s">
        <v>9</v>
      </c>
      <c r="B8" s="120">
        <v>3946405</v>
      </c>
      <c r="C8" s="124">
        <v>4685683.75</v>
      </c>
      <c r="D8" s="122">
        <f>'Bispebjerg-Brønshøj-modellen'!AI33</f>
        <v>4683803.0932959169</v>
      </c>
      <c r="E8" s="122">
        <f>'Bispebjerg-Brønshøj-modellen'!AJ33</f>
        <v>4880878.4624391431</v>
      </c>
      <c r="F8" s="122">
        <f t="shared" si="1"/>
        <v>195194.7124391431</v>
      </c>
      <c r="G8" s="122">
        <f>C8+(F8/$D$25)</f>
        <v>4809766.5879881401</v>
      </c>
      <c r="H8" s="74">
        <f>G8+(F8*$E$25)</f>
        <v>4880878.4624391431</v>
      </c>
      <c r="I8" s="74"/>
      <c r="J8" s="74"/>
      <c r="K8" s="73"/>
      <c r="L8" s="75">
        <v>0</v>
      </c>
      <c r="M8" s="77">
        <f t="shared" si="0"/>
        <v>4809766.5879881401</v>
      </c>
      <c r="O8" s="15"/>
    </row>
    <row r="9" spans="1:15">
      <c r="A9" s="123" t="s">
        <v>10</v>
      </c>
      <c r="B9" s="120">
        <v>3866780</v>
      </c>
      <c r="C9" s="124">
        <v>3944143.4375</v>
      </c>
      <c r="D9" s="122">
        <f>'Bispebjerg-Brønshøj-modellen'!AI34</f>
        <v>4101568.57481643</v>
      </c>
      <c r="E9" s="122">
        <f>'Bispebjerg-Brønshøj-modellen'!AJ34</f>
        <v>4274145.8853581948</v>
      </c>
      <c r="F9" s="122">
        <f t="shared" si="1"/>
        <v>330002.44785819482</v>
      </c>
      <c r="G9" s="122">
        <f>C9+(F9/$D$25)</f>
        <v>4153921.8672617408</v>
      </c>
      <c r="H9" s="74">
        <f>G9+(F9*$E$25)</f>
        <v>4274145.8853581948</v>
      </c>
      <c r="I9" s="74"/>
      <c r="J9" s="74"/>
      <c r="K9" s="73"/>
      <c r="L9" s="75">
        <v>739000</v>
      </c>
      <c r="M9" s="77">
        <f t="shared" si="0"/>
        <v>4892921.8672617413</v>
      </c>
      <c r="O9" s="15"/>
    </row>
    <row r="10" spans="1:15">
      <c r="A10" s="123" t="s">
        <v>11</v>
      </c>
      <c r="B10" s="120">
        <v>6901904</v>
      </c>
      <c r="C10" s="124">
        <v>6749045.875</v>
      </c>
      <c r="D10" s="122">
        <f>'Bispebjerg-Brønshøj-modellen'!AI35</f>
        <v>6010562.2419881606</v>
      </c>
      <c r="E10" s="122">
        <f>'Bispebjerg-Brønshøj-modellen'!AJ35</f>
        <v>6263462.2356479326</v>
      </c>
      <c r="F10" s="122">
        <f t="shared" si="1"/>
        <v>-485583.63935206737</v>
      </c>
      <c r="G10" s="122">
        <f t="shared" si="2"/>
        <v>6627649.9651619829</v>
      </c>
      <c r="H10" s="74">
        <f t="shared" si="3"/>
        <v>6506254.0553239658</v>
      </c>
      <c r="I10" s="74">
        <f t="shared" si="4"/>
        <v>6384858.1454859488</v>
      </c>
      <c r="J10" s="74">
        <f t="shared" si="5"/>
        <v>6263462.2356479317</v>
      </c>
      <c r="K10" s="73"/>
      <c r="L10" s="75">
        <v>0</v>
      </c>
      <c r="M10" s="77">
        <f t="shared" si="0"/>
        <v>6627649.9651619829</v>
      </c>
      <c r="O10" s="15"/>
    </row>
    <row r="11" spans="1:15">
      <c r="A11" s="123" t="s">
        <v>12</v>
      </c>
      <c r="B11" s="120">
        <v>3347822</v>
      </c>
      <c r="C11" s="124">
        <v>3526532</v>
      </c>
      <c r="D11" s="122">
        <f>'Bispebjerg-Brønshøj-modellen'!AI36</f>
        <v>3137484.3917162917</v>
      </c>
      <c r="E11" s="122">
        <f>'Bispebjerg-Brønshøj-modellen'!AJ36</f>
        <v>3269496.9640559838</v>
      </c>
      <c r="F11" s="122">
        <f t="shared" si="1"/>
        <v>-257035.03594401618</v>
      </c>
      <c r="G11" s="122">
        <f t="shared" si="2"/>
        <v>3462273.2410139958</v>
      </c>
      <c r="H11" s="74">
        <f t="shared" si="3"/>
        <v>3398014.4820279917</v>
      </c>
      <c r="I11" s="74">
        <f t="shared" si="4"/>
        <v>3333755.7230419875</v>
      </c>
      <c r="J11" s="74">
        <f t="shared" si="5"/>
        <v>3269496.9640559833</v>
      </c>
      <c r="K11" s="73">
        <v>150000</v>
      </c>
      <c r="L11" s="75">
        <v>0</v>
      </c>
      <c r="M11" s="77">
        <f t="shared" si="0"/>
        <v>3612273.2410139958</v>
      </c>
      <c r="O11" s="15"/>
    </row>
    <row r="12" spans="1:15">
      <c r="A12" s="125" t="s">
        <v>3</v>
      </c>
      <c r="B12" s="126">
        <f t="shared" ref="B12:C12" si="6">SUM(B3:B11)</f>
        <v>42839896</v>
      </c>
      <c r="C12" s="127">
        <f t="shared" si="6"/>
        <v>44142623.9375</v>
      </c>
      <c r="D12" s="128">
        <f>SUM(D3:D11)</f>
        <v>43270002.492006317</v>
      </c>
      <c r="E12" s="128">
        <f>SUM(E3:E11)</f>
        <v>45090628.07</v>
      </c>
      <c r="F12" s="128">
        <f>SUM(F3:F11)</f>
        <v>948004.13249999844</v>
      </c>
      <c r="G12" s="128">
        <f>SUM(G3:G11)</f>
        <v>45090619.149790503</v>
      </c>
      <c r="H12" s="79"/>
      <c r="I12" s="79"/>
      <c r="J12" s="79"/>
      <c r="K12" s="78">
        <f>SUM(K3:K11)</f>
        <v>245000</v>
      </c>
      <c r="L12" s="80">
        <f>SUM(L3:L11)</f>
        <v>2878000</v>
      </c>
      <c r="M12" s="81">
        <f>SUM(M3:M11)</f>
        <v>48213619.149790503</v>
      </c>
    </row>
    <row r="13" spans="1:15" ht="15.75">
      <c r="A13" s="82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</row>
    <row r="14" spans="1:15" ht="15.75">
      <c r="A14" s="84" t="s">
        <v>141</v>
      </c>
      <c r="B14" s="85"/>
      <c r="C14" s="83"/>
      <c r="D14" s="83"/>
      <c r="E14" s="83"/>
      <c r="F14" s="83"/>
      <c r="G14" s="96"/>
      <c r="H14" s="83"/>
      <c r="I14" s="83"/>
      <c r="J14" s="83"/>
      <c r="K14" s="83"/>
      <c r="L14" s="83"/>
      <c r="M14" s="86">
        <v>45335628.07</v>
      </c>
    </row>
    <row r="15" spans="1:15" ht="15.75">
      <c r="A15" s="84" t="s">
        <v>142</v>
      </c>
      <c r="B15" s="85"/>
      <c r="C15" s="83"/>
      <c r="D15" s="83"/>
      <c r="E15" s="83"/>
      <c r="F15" s="83"/>
      <c r="G15" s="96"/>
      <c r="H15" s="83"/>
      <c r="I15" s="83"/>
      <c r="J15" s="83"/>
      <c r="K15" s="83"/>
      <c r="L15" s="83"/>
      <c r="M15" s="15">
        <v>2878000</v>
      </c>
    </row>
    <row r="16" spans="1:15" ht="15.75">
      <c r="A16" s="84" t="s">
        <v>143</v>
      </c>
      <c r="B16" s="85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5">
        <f>SUM(M14:M15)</f>
        <v>48213628.07</v>
      </c>
    </row>
    <row r="17" spans="1:13" ht="16.5" thickBot="1">
      <c r="A17" s="84" t="s">
        <v>144</v>
      </c>
      <c r="B17" s="85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7">
        <f>M16-M12</f>
        <v>8.9202094972133636</v>
      </c>
    </row>
    <row r="18" spans="1:13" ht="15.75" thickTop="1"/>
    <row r="19" spans="1:13">
      <c r="A19" s="84" t="s">
        <v>162</v>
      </c>
      <c r="D19" s="88"/>
      <c r="E19" s="88"/>
      <c r="F19" s="88"/>
      <c r="G19" s="88"/>
      <c r="H19" s="88"/>
      <c r="I19" s="88"/>
      <c r="J19" s="88"/>
      <c r="L19" s="89"/>
    </row>
    <row r="20" spans="1:13">
      <c r="B20" s="90"/>
      <c r="C20" s="90"/>
      <c r="D20" s="88"/>
      <c r="E20" s="88"/>
      <c r="F20" s="88"/>
      <c r="G20" s="88"/>
      <c r="H20" s="88"/>
      <c r="I20" s="88"/>
      <c r="J20" s="88"/>
      <c r="K20" s="91"/>
      <c r="L20" s="91"/>
      <c r="M20" s="38"/>
    </row>
    <row r="21" spans="1:13">
      <c r="A21" s="84" t="s">
        <v>167</v>
      </c>
      <c r="B21" s="90"/>
      <c r="C21" s="90"/>
      <c r="D21" s="88"/>
      <c r="E21" s="88"/>
      <c r="F21" s="88"/>
      <c r="G21" s="88"/>
      <c r="H21" s="88"/>
      <c r="I21" s="88"/>
      <c r="J21" s="88"/>
      <c r="K21" s="92" t="s">
        <v>145</v>
      </c>
      <c r="L21" s="91"/>
      <c r="M21" s="38"/>
    </row>
    <row r="22" spans="1:13">
      <c r="A22" s="84" t="s">
        <v>168</v>
      </c>
    </row>
    <row r="23" spans="1:13">
      <c r="B23" s="15"/>
    </row>
    <row r="24" spans="1:13">
      <c r="E24" t="s">
        <v>147</v>
      </c>
    </row>
    <row r="25" spans="1:13">
      <c r="A25" s="84" t="s">
        <v>146</v>
      </c>
      <c r="D25">
        <v>1.5730999999999999</v>
      </c>
      <c r="E25">
        <f>(100-D26)/100</f>
        <v>0.36431250397304682</v>
      </c>
    </row>
    <row r="26" spans="1:13">
      <c r="B26" s="95"/>
      <c r="C26" s="114" t="s">
        <v>151</v>
      </c>
      <c r="D26" s="113">
        <f>1/D25*100</f>
        <v>63.56874960269532</v>
      </c>
      <c r="E26" t="s">
        <v>148</v>
      </c>
    </row>
    <row r="27" spans="1:13">
      <c r="A27" s="84"/>
      <c r="E27" s="93"/>
    </row>
    <row r="28" spans="1:13">
      <c r="A28" s="84"/>
      <c r="E28" s="94"/>
    </row>
    <row r="29" spans="1:13">
      <c r="A29" s="8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49"/>
  <sheetViews>
    <sheetView tabSelected="1" topLeftCell="A7" zoomScaleNormal="100" workbookViewId="0">
      <pane xSplit="1" topLeftCell="B1" activePane="topRight" state="frozen"/>
      <selection pane="topRight" activeCell="Z10" sqref="Z10"/>
    </sheetView>
  </sheetViews>
  <sheetFormatPr defaultColWidth="9.140625" defaultRowHeight="15"/>
  <cols>
    <col min="1" max="1" width="24.28515625" style="2" customWidth="1"/>
    <col min="2" max="2" width="4.28515625" style="5" customWidth="1"/>
    <col min="3" max="3" width="0.140625" style="5" customWidth="1"/>
    <col min="4" max="4" width="13.42578125" style="5" hidden="1" customWidth="1"/>
    <col min="5" max="5" width="13.7109375" style="5" hidden="1" customWidth="1"/>
    <col min="6" max="6" width="14.5703125" style="5" hidden="1" customWidth="1"/>
    <col min="7" max="7" width="14.140625" style="5" hidden="1" customWidth="1"/>
    <col min="8" max="8" width="12.42578125" style="5" hidden="1" customWidth="1"/>
    <col min="9" max="11" width="13" style="1" hidden="1" customWidth="1"/>
    <col min="12" max="13" width="13" style="1" customWidth="1"/>
    <col min="14" max="14" width="15.5703125" style="5" customWidth="1"/>
    <col min="15" max="15" width="10.28515625" style="5" customWidth="1"/>
    <col min="16" max="16" width="12.140625" style="22" customWidth="1"/>
    <col min="17" max="17" width="11.5703125" style="22" hidden="1" customWidth="1"/>
    <col min="18" max="18" width="14.7109375" style="22" hidden="1" customWidth="1"/>
    <col min="19" max="19" width="18" style="22" hidden="1" customWidth="1"/>
    <col min="20" max="20" width="13.28515625" style="5" hidden="1" customWidth="1"/>
    <col min="21" max="21" width="13.42578125" style="5" hidden="1" customWidth="1"/>
    <col min="22" max="22" width="13.140625" style="5" hidden="1" customWidth="1"/>
    <col min="23" max="23" width="13.140625" style="1" hidden="1" customWidth="1"/>
    <col min="24" max="24" width="12.140625" style="5" hidden="1" customWidth="1"/>
    <col min="25" max="25" width="13.140625" style="5" hidden="1" customWidth="1"/>
    <col min="26" max="26" width="14.7109375" style="5" customWidth="1"/>
    <col min="27" max="27" width="13.42578125" style="5" bestFit="1" customWidth="1"/>
    <col min="28" max="28" width="13.85546875" style="5" customWidth="1"/>
    <col min="29" max="30" width="12.28515625" style="5" customWidth="1"/>
    <col min="31" max="31" width="4" style="138" customWidth="1"/>
    <col min="32" max="32" width="16.7109375" style="5" hidden="1" customWidth="1"/>
    <col min="33" max="33" width="11.42578125" style="5" hidden="1" customWidth="1"/>
    <col min="34" max="34" width="12.7109375" style="5" hidden="1" customWidth="1"/>
    <col min="35" max="35" width="15.140625" style="5" customWidth="1"/>
    <col min="36" max="37" width="15.42578125" style="5" customWidth="1"/>
    <col min="38" max="38" width="6.42578125" style="5" customWidth="1"/>
    <col min="39" max="39" width="13.42578125" style="5" customWidth="1"/>
    <col min="40" max="40" width="0.28515625" style="5" customWidth="1"/>
    <col min="41" max="41" width="13.42578125" style="5" hidden="1" customWidth="1"/>
    <col min="42" max="42" width="6" style="5" hidden="1" customWidth="1"/>
    <col min="43" max="43" width="12.28515625" style="5" hidden="1" customWidth="1"/>
    <col min="44" max="44" width="5.42578125" style="5" hidden="1" customWidth="1"/>
    <col min="45" max="45" width="9.140625" style="5" hidden="1" customWidth="1"/>
    <col min="46" max="46" width="11.85546875" style="5" customWidth="1"/>
    <col min="47" max="16384" width="9.140625" style="5"/>
  </cols>
  <sheetData>
    <row r="1" spans="1:48" ht="23.25">
      <c r="A1" s="65" t="s">
        <v>170</v>
      </c>
      <c r="B1" s="65"/>
      <c r="C1" s="65"/>
      <c r="D1" s="65"/>
      <c r="E1" s="65"/>
      <c r="F1" s="65"/>
      <c r="G1" s="65"/>
      <c r="H1" s="65"/>
      <c r="I1" s="65"/>
    </row>
    <row r="2" spans="1:48" ht="15" customHeight="1">
      <c r="A2" s="65"/>
      <c r="B2" s="65"/>
      <c r="C2" s="65"/>
      <c r="D2" s="65"/>
      <c r="E2" s="65"/>
      <c r="F2" s="65"/>
      <c r="G2" s="65"/>
      <c r="H2" s="65"/>
      <c r="I2" s="65"/>
    </row>
    <row r="3" spans="1:48" ht="15" customHeight="1">
      <c r="A3" s="130" t="s">
        <v>153</v>
      </c>
      <c r="B3" s="65"/>
      <c r="C3" s="65"/>
      <c r="D3" s="65"/>
      <c r="E3" s="65"/>
      <c r="F3" s="65"/>
      <c r="G3" s="65"/>
      <c r="H3" s="65"/>
      <c r="I3" s="65"/>
      <c r="L3" s="144">
        <v>45335628.07</v>
      </c>
    </row>
    <row r="4" spans="1:48" ht="15" customHeight="1">
      <c r="A4" s="130" t="s">
        <v>154</v>
      </c>
      <c r="B4" s="65"/>
      <c r="C4" s="65"/>
      <c r="D4" s="65"/>
      <c r="E4" s="65"/>
      <c r="F4" s="65"/>
      <c r="G4" s="65"/>
      <c r="H4" s="65"/>
      <c r="I4" s="65"/>
      <c r="L4" s="1">
        <v>95000</v>
      </c>
      <c r="M4" s="1" t="s">
        <v>163</v>
      </c>
    </row>
    <row r="5" spans="1:48" ht="15" customHeight="1">
      <c r="A5" s="130" t="s">
        <v>155</v>
      </c>
      <c r="B5" s="65"/>
      <c r="C5" s="65"/>
      <c r="D5" s="65"/>
      <c r="E5" s="65"/>
      <c r="F5" s="65"/>
      <c r="G5" s="65"/>
      <c r="H5" s="65"/>
      <c r="I5" s="65"/>
      <c r="L5" s="1">
        <v>150000</v>
      </c>
      <c r="M5" s="1" t="s">
        <v>164</v>
      </c>
    </row>
    <row r="6" spans="1:48" ht="15" customHeight="1">
      <c r="A6" s="129" t="s">
        <v>156</v>
      </c>
      <c r="B6" s="65"/>
      <c r="C6" s="65"/>
      <c r="D6" s="65"/>
      <c r="E6" s="65"/>
      <c r="F6" s="65"/>
      <c r="G6" s="65"/>
      <c r="H6" s="65"/>
      <c r="I6" s="65"/>
      <c r="L6" s="4">
        <f>L3-L4-L5</f>
        <v>45090628.07</v>
      </c>
    </row>
    <row r="7" spans="1:48" ht="15" customHeight="1">
      <c r="A7" s="65"/>
      <c r="B7" s="65"/>
      <c r="C7" s="65"/>
      <c r="D7" s="65"/>
      <c r="E7" s="65"/>
      <c r="F7" s="65"/>
      <c r="G7" s="65"/>
      <c r="H7" s="65"/>
      <c r="I7" s="65"/>
    </row>
    <row r="8" spans="1:48" ht="15" customHeight="1">
      <c r="A8" s="65"/>
      <c r="B8" s="65"/>
      <c r="C8" s="65"/>
      <c r="D8" s="65"/>
      <c r="E8" s="65"/>
      <c r="F8" s="65"/>
      <c r="G8" s="65"/>
      <c r="H8" s="65"/>
      <c r="I8" s="65"/>
    </row>
    <row r="9" spans="1:48" s="2" customFormat="1">
      <c r="A9" s="2" t="s">
        <v>0</v>
      </c>
      <c r="C9" s="3">
        <f>E22/$AG37*100</f>
        <v>27.757640861848298</v>
      </c>
      <c r="F9" s="3">
        <f>H22/$AG37*100</f>
        <v>27.757640861848298</v>
      </c>
      <c r="I9" s="3">
        <f>K22/$AG37*100</f>
        <v>27.757640861848298</v>
      </c>
      <c r="L9" s="4">
        <f>N22/AI37*100</f>
        <v>27.757925371552457</v>
      </c>
      <c r="M9" s="4"/>
      <c r="P9" s="23"/>
      <c r="Q9" s="3">
        <f>S22/$AG37*100</f>
        <v>48.564595336040682</v>
      </c>
      <c r="T9" s="3">
        <f>V22/$AG37*100</f>
        <v>48.564595336040682</v>
      </c>
      <c r="W9" s="3">
        <f>Y22/$AG37*100</f>
        <v>48.564595336040682</v>
      </c>
      <c r="Z9" s="3">
        <f>AB22/AI37*100</f>
        <v>48.565093112444679</v>
      </c>
      <c r="AE9" s="142"/>
    </row>
    <row r="10" spans="1:48">
      <c r="A10" s="23"/>
      <c r="B10" s="22"/>
      <c r="C10" s="98" t="s">
        <v>1</v>
      </c>
      <c r="D10" s="22"/>
      <c r="E10" s="22"/>
      <c r="F10" s="98" t="s">
        <v>1</v>
      </c>
      <c r="G10" s="22"/>
      <c r="H10" s="22"/>
      <c r="I10" s="98" t="s">
        <v>1</v>
      </c>
      <c r="J10" s="22"/>
      <c r="K10" s="22"/>
      <c r="L10" s="26" t="s">
        <v>1</v>
      </c>
      <c r="M10" s="25"/>
      <c r="N10" s="22"/>
      <c r="O10" s="22"/>
      <c r="Q10" s="98" t="s">
        <v>76</v>
      </c>
      <c r="T10" s="98" t="s">
        <v>76</v>
      </c>
      <c r="U10" s="22"/>
      <c r="V10" s="22"/>
      <c r="W10" s="98" t="s">
        <v>76</v>
      </c>
      <c r="X10" s="22"/>
      <c r="Y10" s="22"/>
      <c r="Z10" s="98" t="s">
        <v>23</v>
      </c>
      <c r="AA10" s="22"/>
      <c r="AB10" s="22"/>
      <c r="AC10" s="22"/>
      <c r="AD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5" t="s">
        <v>2</v>
      </c>
    </row>
    <row r="11" spans="1:48">
      <c r="A11" s="23"/>
      <c r="B11" s="22"/>
      <c r="C11" s="98"/>
      <c r="D11" s="23">
        <v>2016</v>
      </c>
      <c r="E11" s="22"/>
      <c r="F11" s="98"/>
      <c r="G11" s="23">
        <v>2015</v>
      </c>
      <c r="H11" s="22"/>
      <c r="I11" s="98"/>
      <c r="J11" s="23">
        <v>2014</v>
      </c>
      <c r="K11" s="22"/>
      <c r="L11" s="25"/>
      <c r="M11" s="104"/>
      <c r="N11" s="22"/>
      <c r="O11" s="22"/>
      <c r="Q11" s="98"/>
      <c r="R11" s="23">
        <v>2016</v>
      </c>
      <c r="T11" s="98"/>
      <c r="U11" s="23">
        <v>2015</v>
      </c>
      <c r="V11" s="22"/>
      <c r="W11" s="98"/>
      <c r="X11" s="23">
        <v>2014</v>
      </c>
      <c r="Y11" s="22"/>
      <c r="Z11" s="98"/>
      <c r="AA11" s="23"/>
      <c r="AB11" s="22"/>
      <c r="AC11" s="22"/>
      <c r="AD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</row>
    <row r="12" spans="1:48" s="6" customFormat="1" ht="90" customHeight="1">
      <c r="A12" s="146" t="s">
        <v>169</v>
      </c>
      <c r="B12" s="146"/>
      <c r="C12" s="24" t="s">
        <v>129</v>
      </c>
      <c r="D12" s="24" t="s">
        <v>17</v>
      </c>
      <c r="E12" s="24" t="s">
        <v>3</v>
      </c>
      <c r="F12" s="24" t="s">
        <v>129</v>
      </c>
      <c r="G12" s="24" t="s">
        <v>17</v>
      </c>
      <c r="H12" s="24" t="s">
        <v>3</v>
      </c>
      <c r="I12" s="24" t="s">
        <v>128</v>
      </c>
      <c r="J12" s="24" t="s">
        <v>17</v>
      </c>
      <c r="K12" s="24" t="s">
        <v>3</v>
      </c>
      <c r="L12" s="105" t="s">
        <v>129</v>
      </c>
      <c r="M12" s="105" t="s">
        <v>17</v>
      </c>
      <c r="N12" s="24" t="s">
        <v>3</v>
      </c>
      <c r="O12" s="131" t="s">
        <v>157</v>
      </c>
      <c r="P12" s="131" t="s">
        <v>158</v>
      </c>
      <c r="Q12" s="24" t="s">
        <v>20</v>
      </c>
      <c r="R12" s="106" t="s">
        <v>19</v>
      </c>
      <c r="S12" s="24" t="s">
        <v>18</v>
      </c>
      <c r="T12" s="24" t="s">
        <v>20</v>
      </c>
      <c r="U12" s="106" t="s">
        <v>19</v>
      </c>
      <c r="V12" s="24" t="s">
        <v>18</v>
      </c>
      <c r="W12" s="24" t="s">
        <v>20</v>
      </c>
      <c r="X12" s="106" t="s">
        <v>19</v>
      </c>
      <c r="Y12" s="24" t="s">
        <v>18</v>
      </c>
      <c r="Z12" s="24" t="s">
        <v>20</v>
      </c>
      <c r="AA12" s="106" t="s">
        <v>19</v>
      </c>
      <c r="AB12" s="24" t="s">
        <v>18</v>
      </c>
      <c r="AC12" s="131" t="s">
        <v>157</v>
      </c>
      <c r="AD12" s="131" t="s">
        <v>158</v>
      </c>
      <c r="AE12" s="143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</row>
    <row r="13" spans="1:48" ht="15" customHeight="1">
      <c r="A13" s="23" t="s">
        <v>4</v>
      </c>
      <c r="B13" s="22"/>
      <c r="C13" s="25">
        <f>($E$22*75/100)/'ny m2'!$F$17*'ny m2'!F8</f>
        <v>728530.59958576388</v>
      </c>
      <c r="D13" s="25">
        <f>(E22*25/100)/'Formål 2'!L11*'Formål 2'!C11</f>
        <v>183201.66663111185</v>
      </c>
      <c r="E13" s="25">
        <f t="shared" ref="E13:E20" si="0">SUM(C13:D13)</f>
        <v>911732.26621687575</v>
      </c>
      <c r="F13" s="25">
        <f>($H$22*75/100)/'ny m2'!$F$17*'ny m2'!F8</f>
        <v>728530.59958576388</v>
      </c>
      <c r="G13" s="25">
        <f>(H22*25/100)/'Formål 2'!L28*'Formål 2'!C28</f>
        <v>230497.67083665161</v>
      </c>
      <c r="H13" s="25">
        <f t="shared" ref="H13:H20" si="1">SUM(F13:G13)</f>
        <v>959028.27042241546</v>
      </c>
      <c r="I13" s="25">
        <f>($K$22*75/100)/'ny m2'!$F$17*'ny m2'!F8</f>
        <v>728530.59958576388</v>
      </c>
      <c r="J13" s="25">
        <f>(K$22*25/100)/'Formål 2'!L46*'Formål 2'!C46</f>
        <v>224128.73210287033</v>
      </c>
      <c r="K13" s="25">
        <f t="shared" ref="K13:K20" si="2">SUM(I13:J13)</f>
        <v>952659.33168863424</v>
      </c>
      <c r="L13" s="25">
        <f>(C13+F13+I13)/3</f>
        <v>728530.59958576376</v>
      </c>
      <c r="M13" s="25">
        <f>(D13+G13+J13)/3</f>
        <v>212609.35652354461</v>
      </c>
      <c r="N13" s="25">
        <f>SUM(L13:M13)</f>
        <v>941139.9561093084</v>
      </c>
      <c r="O13" s="132">
        <f>N13/$AI$37*100</f>
        <v>2.175040217026043</v>
      </c>
      <c r="P13" s="133">
        <f>$L$6*O13/100</f>
        <v>980739.29463213379</v>
      </c>
      <c r="Q13" s="25">
        <f>(S22*70/100)/'Formål 3 skal'!M14*'Formål 3 skal'!C14</f>
        <v>839692.27244421386</v>
      </c>
      <c r="R13" s="25">
        <f>(S22*30/100)/'Formål 3 kan'!G12*'Formål 3 kan'!G3</f>
        <v>630516.78171327116</v>
      </c>
      <c r="S13" s="25">
        <f t="shared" ref="S13:S21" si="3">SUM(Q13:R13)</f>
        <v>1470209.054157485</v>
      </c>
      <c r="T13" s="25">
        <f>(V22*70/100)/'Formål 3 skal'!M34*'Formål 3 skal'!C34</f>
        <v>1067701.9214019079</v>
      </c>
      <c r="U13" s="25">
        <f>(V22*30/100)/'Formål 3 kan'!J12*'Formål 3 kan'!J3</f>
        <v>780897.89983031666</v>
      </c>
      <c r="V13" s="25">
        <f t="shared" ref="V13:V21" si="4">SUM(T13:U13)</f>
        <v>1848599.8212322246</v>
      </c>
      <c r="W13" s="25">
        <f>(Y$22*70/100)/'Formål 3 skal'!M$52*'Formål 3 skal'!C52</f>
        <v>1035621.6024768328</v>
      </c>
      <c r="X13" s="25">
        <f>(Y$22*30/100)/'Formål 3 kan'!Q$12*'Formål 3 kan'!Q3</f>
        <v>1042870.0775593219</v>
      </c>
      <c r="Y13" s="25">
        <f t="shared" ref="Y13:Y21" si="5">SUM(W13:X13)</f>
        <v>2078491.6800361546</v>
      </c>
      <c r="Z13" s="25">
        <f>(Q13+T13+W13)/3</f>
        <v>981005.26544098498</v>
      </c>
      <c r="AA13" s="25">
        <f>(R13+U13+X13)/3</f>
        <v>818094.91970096994</v>
      </c>
      <c r="AB13" s="25">
        <f>SUM(Z13:AA13)</f>
        <v>1799100.185141955</v>
      </c>
      <c r="AC13" s="132">
        <f>AB13/$AI$37*100</f>
        <v>4.1578462711536011</v>
      </c>
      <c r="AD13" s="133">
        <f>$L$6*AC13/100</f>
        <v>1874798.9978482339</v>
      </c>
      <c r="AE13" s="139"/>
      <c r="AF13" s="22"/>
      <c r="AG13" s="22"/>
      <c r="AH13" s="22"/>
      <c r="AI13" s="22"/>
      <c r="AJ13" s="22"/>
      <c r="AK13" s="22"/>
      <c r="AL13" s="147" t="s">
        <v>150</v>
      </c>
      <c r="AM13" s="148"/>
      <c r="AN13" s="148"/>
      <c r="AO13" s="148"/>
      <c r="AP13" s="148"/>
      <c r="AQ13" s="148"/>
      <c r="AR13" s="148"/>
      <c r="AS13" s="148"/>
      <c r="AT13" s="149"/>
      <c r="AU13" s="31"/>
    </row>
    <row r="14" spans="1:48">
      <c r="A14" s="23" t="s">
        <v>5</v>
      </c>
      <c r="B14" s="22"/>
      <c r="C14" s="25">
        <f>($E$22*75/100)/'ny m2'!$F$17*'ny m2'!F9</f>
        <v>864590.66975230374</v>
      </c>
      <c r="D14" s="25">
        <f>(E22*25/100)/'Formål 2'!L11*'Formål 2'!D11</f>
        <v>384723.49992533494</v>
      </c>
      <c r="E14" s="25">
        <f t="shared" si="0"/>
        <v>1249314.1696776387</v>
      </c>
      <c r="F14" s="25">
        <f>($H$22*75/100)/'ny m2'!$F$17*'ny m2'!F9</f>
        <v>864590.66975230374</v>
      </c>
      <c r="G14" s="25">
        <f>(H22*25/100)/'Formål 2'!L28*'Formål 2'!D28</f>
        <v>398953.60548845236</v>
      </c>
      <c r="H14" s="25">
        <f t="shared" si="1"/>
        <v>1263544.2752407561</v>
      </c>
      <c r="I14" s="25">
        <f>($K$22*75/100)/'ny m2'!$F$17*'ny m2'!F9</f>
        <v>864590.66975230374</v>
      </c>
      <c r="J14" s="25">
        <f>(K$22*25/100)/'Formål 2'!L$46*'Formål 2'!D46</f>
        <v>396707.85582208051</v>
      </c>
      <c r="K14" s="25">
        <f t="shared" si="2"/>
        <v>1261298.5255743843</v>
      </c>
      <c r="L14" s="25">
        <f t="shared" ref="L14:L21" si="6">(C14+F14+I14)/3</f>
        <v>864590.66975230386</v>
      </c>
      <c r="M14" s="25">
        <f t="shared" ref="M14:M21" si="7">(D14+G14+J14)/3</f>
        <v>393461.65374528925</v>
      </c>
      <c r="N14" s="25">
        <f t="shared" ref="N14:N21" si="8">SUM(L14:M14)</f>
        <v>1258052.3234975932</v>
      </c>
      <c r="O14" s="132">
        <f t="shared" ref="O14:O21" si="9">N14/$AI$37*100</f>
        <v>2.907446847801789</v>
      </c>
      <c r="P14" s="133">
        <f t="shared" ref="P14:P22" si="10">$L$6*O14/100</f>
        <v>1310986.0444752437</v>
      </c>
      <c r="Q14" s="25">
        <f>(S22*70/100)/'Formål 3 skal'!M14*'Formål 3 skal'!D14</f>
        <v>1834404.6567242828</v>
      </c>
      <c r="R14" s="25">
        <f>(S22*30/100)/'Formål 3 kan'!G12*'Formål 3 kan'!G4</f>
        <v>1111798.8221926319</v>
      </c>
      <c r="S14" s="25">
        <f t="shared" si="3"/>
        <v>2946203.4789169147</v>
      </c>
      <c r="T14" s="25">
        <f>(V22*70/100)/'Formål 3 skal'!M34*'Formål 3 skal'!D34</f>
        <v>1906000.4585483202</v>
      </c>
      <c r="U14" s="25">
        <f>(V22*30/100)/'Formål 3 kan'!J12*'Formål 3 kan'!J4</f>
        <v>1062591.6627828053</v>
      </c>
      <c r="V14" s="25">
        <f t="shared" si="4"/>
        <v>2968592.1213311255</v>
      </c>
      <c r="W14" s="25">
        <f>(Y$22*70/100)/'Formål 3 skal'!M$52*'Formål 3 skal'!D52</f>
        <v>1897495.8457429442</v>
      </c>
      <c r="X14" s="25">
        <f>(Y$22*30/100)/'Formål 3 kan'!Q$12*'Formål 3 kan'!Q4</f>
        <v>790700.67355932191</v>
      </c>
      <c r="Y14" s="25">
        <f t="shared" si="5"/>
        <v>2688196.5193022662</v>
      </c>
      <c r="Z14" s="25">
        <f t="shared" ref="Z14:Z21" si="11">(Q14+T14+W14)/3</f>
        <v>1879300.3203385156</v>
      </c>
      <c r="AA14" s="25">
        <f t="shared" ref="AA14:AA21" si="12">(R14+U14+X14)/3</f>
        <v>988363.71951158636</v>
      </c>
      <c r="AB14" s="25">
        <f t="shared" ref="AB14:AB21" si="13">SUM(Z14:AA14)</f>
        <v>2867664.0398501018</v>
      </c>
      <c r="AC14" s="132">
        <f t="shared" ref="AC14:AC21" si="14">AB14/$AI$37*100</f>
        <v>6.6273720237937885</v>
      </c>
      <c r="AD14" s="133">
        <f t="shared" ref="AD14:AD22" si="15">$L$6*AC14/100</f>
        <v>2988323.6700640894</v>
      </c>
      <c r="AE14" s="139"/>
      <c r="AF14" s="22"/>
      <c r="AG14" s="22"/>
      <c r="AH14" s="22"/>
      <c r="AI14" s="22"/>
      <c r="AJ14" s="22"/>
      <c r="AK14" s="22"/>
      <c r="AL14" s="150"/>
      <c r="AM14" s="151"/>
      <c r="AN14" s="151"/>
      <c r="AO14" s="151"/>
      <c r="AP14" s="151"/>
      <c r="AQ14" s="151"/>
      <c r="AR14" s="151"/>
      <c r="AS14" s="151"/>
      <c r="AT14" s="152"/>
      <c r="AU14" s="31"/>
    </row>
    <row r="15" spans="1:48">
      <c r="A15" s="23" t="s">
        <v>6</v>
      </c>
      <c r="B15" s="22"/>
      <c r="C15" s="25">
        <f>($E$22*75/100)/'ny m2'!$F$17*'ny m2'!F10</f>
        <v>983897.07456251583</v>
      </c>
      <c r="D15" s="25">
        <f>(E22*25/100)/'Formål 2'!L11*'Formål 2'!E11</f>
        <v>654913.92994282779</v>
      </c>
      <c r="E15" s="25">
        <f t="shared" si="0"/>
        <v>1638811.0045053437</v>
      </c>
      <c r="F15" s="25">
        <f>($H$22*75/100)/'ny m2'!$F$17*'ny m2'!F10</f>
        <v>983897.07456251583</v>
      </c>
      <c r="G15" s="25">
        <f>(H22*25/100)/'Formål 2'!L28*'Formål 2'!E28</f>
        <v>551600.18980621186</v>
      </c>
      <c r="H15" s="25">
        <f t="shared" si="1"/>
        <v>1535497.2643687278</v>
      </c>
      <c r="I15" s="25">
        <f>($K$22*75/100)/'ny m2'!$F$17*'ny m2'!F10</f>
        <v>983897.07456251583</v>
      </c>
      <c r="J15" s="25">
        <f>(K$22*25/100)/'Formål 2'!L$46*'Formål 2'!E46</f>
        <v>574584.56775463116</v>
      </c>
      <c r="K15" s="25">
        <f t="shared" si="2"/>
        <v>1558481.642317147</v>
      </c>
      <c r="L15" s="25">
        <f t="shared" si="6"/>
        <v>983897.07456251571</v>
      </c>
      <c r="M15" s="25">
        <f t="shared" si="7"/>
        <v>593699.56250122364</v>
      </c>
      <c r="N15" s="25">
        <f t="shared" si="8"/>
        <v>1577596.6370637394</v>
      </c>
      <c r="O15" s="132">
        <f t="shared" si="9"/>
        <v>3.6459360901474036</v>
      </c>
      <c r="P15" s="133">
        <f t="shared" si="10"/>
        <v>1643975.4820782656</v>
      </c>
      <c r="Q15" s="25">
        <f>(S22*70/100)/'Formål 3 skal'!M14*'Formål 3 skal'!E14</f>
        <v>3001753.0746397348</v>
      </c>
      <c r="R15" s="25">
        <f>(S22*30/100)/'Formål 3 kan'!G12*'Formål 3 kan'!G5</f>
        <v>246237.32303595205</v>
      </c>
      <c r="S15" s="25">
        <f t="shared" si="3"/>
        <v>3247990.397675687</v>
      </c>
      <c r="T15" s="25">
        <f>(V22*70/100)/'Formål 3 skal'!M34*'Formål 3 skal'!E34</f>
        <v>2533199.0729489839</v>
      </c>
      <c r="U15" s="25">
        <f>(V22*30/100)/'Formål 3 kan'!J12*'Formål 3 kan'!J5</f>
        <v>486724.03345588228</v>
      </c>
      <c r="V15" s="25">
        <f t="shared" si="4"/>
        <v>3019923.1064048661</v>
      </c>
      <c r="W15" s="25">
        <f>(Y$22*70/100)/'Formål 3 skal'!M$52*'Formål 3 skal'!E52</f>
        <v>2638963.4810102428</v>
      </c>
      <c r="X15" s="25">
        <f>(Y$22*30/100)/'Formål 3 kan'!Q$12*'Formål 3 kan'!Q5</f>
        <v>365431.9329152542</v>
      </c>
      <c r="Y15" s="25">
        <f t="shared" si="5"/>
        <v>3004395.4139254969</v>
      </c>
      <c r="Z15" s="25">
        <f t="shared" si="11"/>
        <v>2724638.5428663208</v>
      </c>
      <c r="AA15" s="25">
        <f t="shared" si="12"/>
        <v>366131.09646902955</v>
      </c>
      <c r="AB15" s="25">
        <f t="shared" si="13"/>
        <v>3090769.6393353501</v>
      </c>
      <c r="AC15" s="132">
        <f t="shared" si="14"/>
        <v>7.1429846575727316</v>
      </c>
      <c r="AD15" s="133">
        <f t="shared" si="15"/>
        <v>3220816.6450432837</v>
      </c>
      <c r="AE15" s="139"/>
      <c r="AF15" s="22"/>
      <c r="AG15" s="22"/>
      <c r="AH15" s="22"/>
      <c r="AI15" s="22"/>
      <c r="AJ15" s="22"/>
      <c r="AK15" s="22"/>
      <c r="AL15" s="150"/>
      <c r="AM15" s="151"/>
      <c r="AN15" s="151"/>
      <c r="AO15" s="151"/>
      <c r="AP15" s="151"/>
      <c r="AQ15" s="151"/>
      <c r="AR15" s="151"/>
      <c r="AS15" s="151"/>
      <c r="AT15" s="152"/>
      <c r="AU15" s="31"/>
    </row>
    <row r="16" spans="1:48">
      <c r="A16" s="23" t="s">
        <v>7</v>
      </c>
      <c r="B16" s="22"/>
      <c r="C16" s="25">
        <f>($E$22*75/100)/'ny m2'!$F$17*'ny m2'!F11</f>
        <v>751630.35030433687</v>
      </c>
      <c r="D16" s="25">
        <f>(E22*25/100)/'Formål 2'!L11*'Formål 2'!F11</f>
        <v>201521.83329422306</v>
      </c>
      <c r="E16" s="25">
        <f t="shared" si="0"/>
        <v>953152.18359855993</v>
      </c>
      <c r="F16" s="25">
        <f>($H$22*75/100)/'ny m2'!$F$17*'ny m2'!F11</f>
        <v>751630.35030433687</v>
      </c>
      <c r="G16" s="25">
        <f>(H22*25/100)/'Formål 2'!L28*'Formål 2'!F28</f>
        <v>187785.85459804445</v>
      </c>
      <c r="H16" s="25">
        <f t="shared" si="1"/>
        <v>939416.20490238129</v>
      </c>
      <c r="I16" s="25">
        <f>($K$22*75/100)/'ny m2'!$F$17*'ny m2'!F11</f>
        <v>751630.35030433687</v>
      </c>
      <c r="J16" s="25">
        <f>(K$22*25/100)/'Formål 2'!L$46*'Formål 2'!F46</f>
        <v>202462.95466625955</v>
      </c>
      <c r="K16" s="25">
        <f t="shared" si="2"/>
        <v>954093.30497059645</v>
      </c>
      <c r="L16" s="25">
        <f t="shared" si="6"/>
        <v>751630.35030433687</v>
      </c>
      <c r="M16" s="25">
        <f t="shared" si="7"/>
        <v>197256.88085284235</v>
      </c>
      <c r="N16" s="25">
        <f t="shared" si="8"/>
        <v>948887.23115717922</v>
      </c>
      <c r="O16" s="132">
        <f t="shared" si="9"/>
        <v>2.1929447111367195</v>
      </c>
      <c r="P16" s="133">
        <f t="shared" si="10"/>
        <v>988812.54347939405</v>
      </c>
      <c r="Q16" s="25">
        <f>(S22*70/100)/'Formål 3 skal'!M14*'Formål 3 skal'!F14</f>
        <v>1259538.4086663208</v>
      </c>
      <c r="R16" s="25">
        <f>(S22*30/100)/'Formål 3 kan'!G12*'Formål 3 kan'!G6</f>
        <v>781616.9572126054</v>
      </c>
      <c r="S16" s="25">
        <f t="shared" si="3"/>
        <v>2041155.3658789261</v>
      </c>
      <c r="T16" s="25">
        <f>(V22*70/100)/'Formål 3 skal'!M34*'Formål 3 skal'!F34</f>
        <v>1214739.7288635422</v>
      </c>
      <c r="U16" s="25">
        <f>(V22*30/100)/'Formål 3 kan'!J12*'Formål 3 kan'!J6</f>
        <v>666794.09711538453</v>
      </c>
      <c r="V16" s="25">
        <f t="shared" si="4"/>
        <v>1881533.8259789268</v>
      </c>
      <c r="W16" s="25">
        <f>(Y$22*70/100)/'Formål 3 skal'!M$52*'Formål 3 skal'!F52</f>
        <v>1286728.6476557036</v>
      </c>
      <c r="X16" s="25">
        <f>(Y$22*30/100)/'Formål 3 kan'!Q$12*'Formål 3 kan'!Q6</f>
        <v>771467.41393220332</v>
      </c>
      <c r="Y16" s="25">
        <f t="shared" si="5"/>
        <v>2058196.0615879069</v>
      </c>
      <c r="Z16" s="25">
        <f t="shared" si="11"/>
        <v>1253668.9283951889</v>
      </c>
      <c r="AA16" s="25">
        <f t="shared" si="12"/>
        <v>739959.48942006438</v>
      </c>
      <c r="AB16" s="25">
        <f t="shared" si="13"/>
        <v>1993628.4178152531</v>
      </c>
      <c r="AC16" s="132">
        <f t="shared" si="14"/>
        <v>4.6074146128915876</v>
      </c>
      <c r="AD16" s="133">
        <f t="shared" si="15"/>
        <v>2077512.1867417761</v>
      </c>
      <c r="AE16" s="139"/>
      <c r="AF16" s="22"/>
      <c r="AG16" s="22"/>
      <c r="AH16" s="22"/>
      <c r="AI16" s="22"/>
      <c r="AJ16" s="22"/>
      <c r="AK16" s="22"/>
      <c r="AL16" s="150"/>
      <c r="AM16" s="151"/>
      <c r="AN16" s="151"/>
      <c r="AO16" s="151"/>
      <c r="AP16" s="151"/>
      <c r="AQ16" s="151"/>
      <c r="AR16" s="151"/>
      <c r="AS16" s="151"/>
      <c r="AT16" s="152"/>
      <c r="AU16" s="31"/>
    </row>
    <row r="17" spans="1:47">
      <c r="A17" s="23" t="s">
        <v>8</v>
      </c>
      <c r="B17" s="22"/>
      <c r="C17" s="25">
        <f>($E$22*75/100)/'ny m2'!$F$17*'ny m2'!F12</f>
        <v>2251337.2431101529</v>
      </c>
      <c r="D17" s="25">
        <f>(E22*25/100)/'Formål 2'!L11*'Formål 2'!G11</f>
        <v>431997.21669937705</v>
      </c>
      <c r="E17" s="25">
        <f t="shared" si="0"/>
        <v>2683334.4598095301</v>
      </c>
      <c r="F17" s="25">
        <f>($H$22*75/100)/'ny m2'!$F$17*'ny m2'!F12</f>
        <v>2251337.2431101529</v>
      </c>
      <c r="G17" s="25">
        <f>(H22*25/100)/'Formål 2'!L28*'Formål 2'!G28</f>
        <v>468700.7393151049</v>
      </c>
      <c r="H17" s="25">
        <f t="shared" si="1"/>
        <v>2720037.9824252576</v>
      </c>
      <c r="I17" s="25">
        <f>($K$22*75/100)/'ny m2'!$F$17*'ny m2'!F12</f>
        <v>2251337.2431101529</v>
      </c>
      <c r="J17" s="25">
        <f>(K$22*25/100)/'Formål 2'!L$46*'Formål 2'!G46</f>
        <v>471077.84420166927</v>
      </c>
      <c r="K17" s="25">
        <f t="shared" si="2"/>
        <v>2722415.087311822</v>
      </c>
      <c r="L17" s="25">
        <f t="shared" si="6"/>
        <v>2251337.2431101529</v>
      </c>
      <c r="M17" s="25">
        <f t="shared" si="7"/>
        <v>457258.60007205041</v>
      </c>
      <c r="N17" s="25">
        <f t="shared" si="8"/>
        <v>2708595.8431822034</v>
      </c>
      <c r="O17" s="132">
        <f t="shared" si="9"/>
        <v>6.259754303648557</v>
      </c>
      <c r="P17" s="133">
        <f t="shared" si="10"/>
        <v>2822562.5311539895</v>
      </c>
      <c r="Q17" s="25">
        <f>(S22*70/100)/'Formål 3 skal'!M14*'Formål 3 skal'!G14</f>
        <v>2064586.0349047941</v>
      </c>
      <c r="R17" s="25">
        <f>(S22*30/100)/'Formål 3 kan'!G12*'Formål 3 kan'!G7</f>
        <v>482214.75761207275</v>
      </c>
      <c r="S17" s="25">
        <f t="shared" si="3"/>
        <v>2546800.7925168667</v>
      </c>
      <c r="T17" s="25">
        <f>(V22*70/100)/'Formål 3 skal'!M34*'Formål 3 skal'!G34</f>
        <v>2254986.4580008294</v>
      </c>
      <c r="U17" s="25">
        <f>(V22*30/100)/'Formål 3 kan'!J12*'Formål 3 kan'!J7</f>
        <v>411843.4129242081</v>
      </c>
      <c r="V17" s="25">
        <f t="shared" si="4"/>
        <v>2666829.8709250377</v>
      </c>
      <c r="W17" s="25">
        <f>(Y$22*70/100)/'Formål 3 skal'!M$52*'Formål 3 skal'!G52</f>
        <v>2268385.6304854001</v>
      </c>
      <c r="X17" s="25">
        <f>(Y$22*30/100)/'Formål 3 kan'!Q$12*'Formål 3 kan'!Q7</f>
        <v>465872.28874576266</v>
      </c>
      <c r="Y17" s="25">
        <f t="shared" si="5"/>
        <v>2734257.9192311629</v>
      </c>
      <c r="Z17" s="25">
        <f t="shared" si="11"/>
        <v>2195986.0411303411</v>
      </c>
      <c r="AA17" s="25">
        <f t="shared" si="12"/>
        <v>453310.15309401444</v>
      </c>
      <c r="AB17" s="25">
        <f t="shared" si="13"/>
        <v>2649296.1942243557</v>
      </c>
      <c r="AC17" s="132">
        <f t="shared" si="14"/>
        <v>6.1227086703167757</v>
      </c>
      <c r="AD17" s="133">
        <f t="shared" si="15"/>
        <v>2760767.7943421798</v>
      </c>
      <c r="AE17" s="139"/>
      <c r="AF17" s="22"/>
      <c r="AG17" s="22"/>
      <c r="AH17" s="22"/>
      <c r="AI17" s="22"/>
      <c r="AJ17" s="22"/>
      <c r="AK17" s="22"/>
      <c r="AL17" s="150"/>
      <c r="AM17" s="151"/>
      <c r="AN17" s="151"/>
      <c r="AO17" s="151"/>
      <c r="AP17" s="151"/>
      <c r="AQ17" s="151"/>
      <c r="AR17" s="151"/>
      <c r="AS17" s="151"/>
      <c r="AT17" s="152"/>
      <c r="AU17" s="31"/>
    </row>
    <row r="18" spans="1:47">
      <c r="A18" s="23" t="s">
        <v>9</v>
      </c>
      <c r="B18" s="22"/>
      <c r="C18" s="25">
        <f>($E$22*75/100)/'ny m2'!$F$17*'ny m2'!F13</f>
        <v>759245.65273903124</v>
      </c>
      <c r="D18" s="25">
        <f>(E22*25/100)/'Formål 2'!L11*'Formål 2'!H11</f>
        <v>417136.102483147</v>
      </c>
      <c r="E18" s="25">
        <f t="shared" si="0"/>
        <v>1176381.7552221783</v>
      </c>
      <c r="F18" s="25">
        <f>($H$22*75/100)/'ny m2'!$F$17*'ny m2'!F13</f>
        <v>759245.65273903124</v>
      </c>
      <c r="G18" s="25">
        <f>(H22*25/100)/'Formål 2'!L28*'Formål 2'!H28</f>
        <v>363150.07679077075</v>
      </c>
      <c r="H18" s="25">
        <f t="shared" si="1"/>
        <v>1122395.729529802</v>
      </c>
      <c r="I18" s="25">
        <f>($K$22*75/100)/'ny m2'!$F$17*'ny m2'!F13</f>
        <v>759245.65273903124</v>
      </c>
      <c r="J18" s="25">
        <f>(K$22*25/100)/'Formål 2'!L$46*'Formål 2'!H46</f>
        <v>354870.49249621137</v>
      </c>
      <c r="K18" s="25">
        <f t="shared" si="2"/>
        <v>1114116.1452352426</v>
      </c>
      <c r="L18" s="25">
        <f t="shared" si="6"/>
        <v>759245.65273903124</v>
      </c>
      <c r="M18" s="25">
        <f t="shared" si="7"/>
        <v>378385.55725670973</v>
      </c>
      <c r="N18" s="25">
        <f t="shared" si="8"/>
        <v>1137631.209995741</v>
      </c>
      <c r="O18" s="132">
        <f t="shared" si="9"/>
        <v>2.6291452379876947</v>
      </c>
      <c r="P18" s="133">
        <f t="shared" si="10"/>
        <v>1185498.1006811478</v>
      </c>
      <c r="Q18" s="25">
        <f>(S22*70/100)/'Formål 3 skal'!M14*'Formål 3 skal'!H14</f>
        <v>2034638.967845595</v>
      </c>
      <c r="R18" s="25">
        <f>(S22*30/100)/'Formål 3 kan'!G12*'Formål 3 kan'!G8</f>
        <v>415991.84118952503</v>
      </c>
      <c r="S18" s="25">
        <f t="shared" si="3"/>
        <v>2450630.8090351201</v>
      </c>
      <c r="T18" s="25">
        <f>(V22*70/100)/'Formål 3 skal'!M34*'Formål 3 skal'!H34</f>
        <v>1778486.3433637493</v>
      </c>
      <c r="U18" s="25">
        <f>(V22*30/100)/'Formål 3 kan'!J12*'Formål 3 kan'!J8</f>
        <v>629353.78684954741</v>
      </c>
      <c r="V18" s="25">
        <f t="shared" si="4"/>
        <v>2407840.130213297</v>
      </c>
      <c r="W18" s="25">
        <f>(Y$22*70/100)/'Formål 3 skal'!M$52*'Formål 3 skal'!H52</f>
        <v>1739657.1316305113</v>
      </c>
      <c r="X18" s="25">
        <f>(Y$22*30/100)/'Formål 3 kan'!Q$12*'Formål 3 kan'!Q8</f>
        <v>673164.08694915241</v>
      </c>
      <c r="Y18" s="25">
        <f t="shared" si="5"/>
        <v>2412821.2185796639</v>
      </c>
      <c r="Z18" s="25">
        <f t="shared" si="11"/>
        <v>1850927.4809466184</v>
      </c>
      <c r="AA18" s="25">
        <f t="shared" si="12"/>
        <v>572836.5716627416</v>
      </c>
      <c r="AB18" s="25">
        <f t="shared" si="13"/>
        <v>2423764.0526093598</v>
      </c>
      <c r="AC18" s="132">
        <f t="shared" si="14"/>
        <v>5.6014881280793203</v>
      </c>
      <c r="AD18" s="133">
        <f t="shared" si="15"/>
        <v>2525746.1782174516</v>
      </c>
      <c r="AE18" s="139"/>
      <c r="AF18" s="22"/>
      <c r="AG18" s="22"/>
      <c r="AH18" s="22"/>
      <c r="AI18" s="22"/>
      <c r="AJ18" s="22"/>
      <c r="AK18" s="22"/>
      <c r="AL18" s="153"/>
      <c r="AM18" s="154"/>
      <c r="AN18" s="154"/>
      <c r="AO18" s="154"/>
      <c r="AP18" s="154"/>
      <c r="AQ18" s="154"/>
      <c r="AR18" s="154"/>
      <c r="AS18" s="154"/>
      <c r="AT18" s="155"/>
      <c r="AU18" s="31"/>
    </row>
    <row r="19" spans="1:47">
      <c r="A19" s="23" t="s">
        <v>10</v>
      </c>
      <c r="B19" s="22"/>
      <c r="C19" s="25">
        <f>($E$22*75/100)/'ny m2'!$F$17*'ny m2'!F14</f>
        <v>578001.45479330455</v>
      </c>
      <c r="D19" s="25">
        <f>(E22*25/100)/'Formål 2'!L11*'Formål 2'!I11</f>
        <v>284667.20507295843</v>
      </c>
      <c r="E19" s="25">
        <f t="shared" si="0"/>
        <v>862668.65986626293</v>
      </c>
      <c r="F19" s="25">
        <f>($H$22*75/100)/'ny m2'!$F$17*'ny m2'!F14</f>
        <v>578001.45479330455</v>
      </c>
      <c r="G19" s="25">
        <f>(H22*25/100)/'Formål 2'!L28*'Formål 2'!I28</f>
        <v>291543.01939540752</v>
      </c>
      <c r="H19" s="25">
        <f t="shared" si="1"/>
        <v>869544.47418871208</v>
      </c>
      <c r="I19" s="25">
        <f>($K$22*75/100)/'ny m2'!$F$17*'ny m2'!F14</f>
        <v>578001.45479330455</v>
      </c>
      <c r="J19" s="25">
        <f>(K$22*25/100)/'Formål 2'!L$46*'Formål 2'!I46</f>
        <v>282402.20244961663</v>
      </c>
      <c r="K19" s="25">
        <f t="shared" si="2"/>
        <v>860403.65724292118</v>
      </c>
      <c r="L19" s="25">
        <f t="shared" si="6"/>
        <v>578001.45479330455</v>
      </c>
      <c r="M19" s="25">
        <f t="shared" si="7"/>
        <v>286204.14230599423</v>
      </c>
      <c r="N19" s="25">
        <f t="shared" si="8"/>
        <v>864205.59709929884</v>
      </c>
      <c r="O19" s="132">
        <f t="shared" si="9"/>
        <v>1.9972395362328712</v>
      </c>
      <c r="P19" s="133">
        <f t="shared" si="10"/>
        <v>900567.8509497568</v>
      </c>
      <c r="Q19" s="25">
        <f>(S22*70/100)/'Formål 3 skal'!M14*'Formål 3 skal'!I14</f>
        <v>1543741.9470320549</v>
      </c>
      <c r="R19" s="25">
        <f>(S22*30/100)/'Formål 3 kan'!G12*'Formål 3 kan'!G9</f>
        <v>682748.94114513975</v>
      </c>
      <c r="S19" s="25">
        <f t="shared" si="3"/>
        <v>2226490.8881771946</v>
      </c>
      <c r="T19" s="25">
        <f>(V22*70/100)/'Formål 3 skal'!M34*'Formål 3 skal'!I34</f>
        <v>1583859.5359767731</v>
      </c>
      <c r="U19" s="25">
        <f>(V22*30/100)/'Formål 3 kan'!J12*'Formål 3 kan'!J9</f>
        <v>584781.98891402711</v>
      </c>
      <c r="V19" s="25">
        <f t="shared" si="4"/>
        <v>2168641.5248908</v>
      </c>
      <c r="W19" s="25">
        <f>(Y$22*70/100)/'Formål 3 skal'!M$52*'Formål 3 skal'!I52</f>
        <v>1544074.3771868444</v>
      </c>
      <c r="X19" s="25">
        <f>(Y$22*30/100)/'Formål 3 kan'!Q$12*'Formål 3 kan'!Q9</f>
        <v>632560.5388474575</v>
      </c>
      <c r="Y19" s="25">
        <f t="shared" si="5"/>
        <v>2176634.9160343017</v>
      </c>
      <c r="Z19" s="25">
        <f t="shared" si="11"/>
        <v>1557225.2867318906</v>
      </c>
      <c r="AA19" s="25">
        <f t="shared" si="12"/>
        <v>633363.82296887471</v>
      </c>
      <c r="AB19" s="25">
        <f t="shared" si="13"/>
        <v>2190589.1097007655</v>
      </c>
      <c r="AC19" s="132">
        <f t="shared" si="14"/>
        <v>5.062604537879225</v>
      </c>
      <c r="AD19" s="133">
        <f t="shared" si="15"/>
        <v>2282760.1828300636</v>
      </c>
      <c r="AE19" s="139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</row>
    <row r="20" spans="1:47">
      <c r="A20" s="23" t="s">
        <v>11</v>
      </c>
      <c r="B20" s="22"/>
      <c r="C20" s="25">
        <f>($E$22*75/100)/'ny m2'!$F$17*'ny m2'!F15</f>
        <v>1577129.1342252092</v>
      </c>
      <c r="D20" s="25">
        <f>(E22*25/100)/'Formål 2'!L11*'Formål 2'!J11</f>
        <v>291457.1969131325</v>
      </c>
      <c r="E20" s="25">
        <f t="shared" si="0"/>
        <v>1868586.3311383417</v>
      </c>
      <c r="F20" s="25">
        <f>($H$22*75/100)/'ny m2'!$F$17*'ny m2'!F15</f>
        <v>1577129.1342252092</v>
      </c>
      <c r="G20" s="25">
        <f>(H22*25/100)/'Formål 2'!L28*'Formål 2'!J28</f>
        <v>287623.89473276702</v>
      </c>
      <c r="H20" s="25">
        <f t="shared" si="1"/>
        <v>1864753.0289579763</v>
      </c>
      <c r="I20" s="25">
        <f>($K$22*75/100)/'ny m2'!$F$17*'ny m2'!F15</f>
        <v>1577129.1342252092</v>
      </c>
      <c r="J20" s="25">
        <f>(K$22*25/100)/'Formål 2'!L$46*'Formål 2'!J46</f>
        <v>360643.50529280043</v>
      </c>
      <c r="K20" s="25">
        <f t="shared" si="2"/>
        <v>1937772.6395180097</v>
      </c>
      <c r="L20" s="25">
        <f t="shared" si="6"/>
        <v>1577129.1342252092</v>
      </c>
      <c r="M20" s="25">
        <f t="shared" si="7"/>
        <v>313241.5323129</v>
      </c>
      <c r="N20" s="25">
        <f t="shared" si="8"/>
        <v>1890370.6665381093</v>
      </c>
      <c r="O20" s="132">
        <f t="shared" si="9"/>
        <v>4.3687787327660441</v>
      </c>
      <c r="P20" s="133">
        <f t="shared" si="10"/>
        <v>1969909.7695927962</v>
      </c>
      <c r="Q20" s="25">
        <f>(S22*70/100)/'Formål 3 skal'!M14*'Formål 3 skal'!J14</f>
        <v>1338810.056764201</v>
      </c>
      <c r="R20" s="25">
        <f>(S22*30/100)/'Formål 3 kan'!G12*'Formål 3 kan'!G10</f>
        <v>1057701.2284953394</v>
      </c>
      <c r="S20" s="25">
        <f t="shared" si="3"/>
        <v>2396511.2852595402</v>
      </c>
      <c r="T20" s="25">
        <f>(V22*70/100)/'Formål 3 skal'!M34*'Formål 3 skal'!J34</f>
        <v>1323950.3825383657</v>
      </c>
      <c r="U20" s="25">
        <f>(V22*30/100)/'Formål 3 kan'!J12*'Formål 3 kan'!J10</f>
        <v>812989.59434389125</v>
      </c>
      <c r="V20" s="25">
        <f t="shared" si="4"/>
        <v>2136939.976882257</v>
      </c>
      <c r="W20" s="25">
        <f>(Y$22*70/100)/'Formål 3 skal'!M$52*'Formål 3 skal'!J52</f>
        <v>1656370.6955277056</v>
      </c>
      <c r="X20" s="25">
        <f>(Y$22*30/100)/'Formål 3 kan'!Q$12*'Formål 3 kan'!Q10</f>
        <v>1002266.529457627</v>
      </c>
      <c r="Y20" s="25">
        <f t="shared" si="5"/>
        <v>2658637.2249853327</v>
      </c>
      <c r="Z20" s="25">
        <f t="shared" si="11"/>
        <v>1439710.3782767572</v>
      </c>
      <c r="AA20" s="25">
        <f t="shared" si="12"/>
        <v>957652.45076561917</v>
      </c>
      <c r="AB20" s="25">
        <f t="shared" si="13"/>
        <v>2397362.8290423765</v>
      </c>
      <c r="AC20" s="132">
        <f t="shared" si="14"/>
        <v>5.5404730551731864</v>
      </c>
      <c r="AD20" s="133">
        <f t="shared" si="15"/>
        <v>2498234.0986267077</v>
      </c>
      <c r="AE20" s="139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</row>
    <row r="21" spans="1:47">
      <c r="A21" s="23" t="s">
        <v>12</v>
      </c>
      <c r="B21" s="22"/>
      <c r="C21" s="25">
        <f>($E$22*75/100)/'ny m2'!$F$17*'ny m2'!F16</f>
        <v>513779.07092738186</v>
      </c>
      <c r="D21" s="25">
        <f>(E22*25/100)/'Formål 2'!L11*'Formål 2'!K11</f>
        <v>153095.09903788718</v>
      </c>
      <c r="E21" s="25">
        <f>SUM(C21:D21)</f>
        <v>666874.16996526904</v>
      </c>
      <c r="F21" s="25">
        <f>($H$22*75/100)/'ny m2'!$F$17*'ny m2'!F16</f>
        <v>513779.07092738186</v>
      </c>
      <c r="G21" s="25">
        <f>(H22*25/100)/'Formål 2'!L28*'Formål 2'!K28</f>
        <v>222858.69903658968</v>
      </c>
      <c r="H21" s="25">
        <f>SUM(F21:G21)</f>
        <v>736637.76996397157</v>
      </c>
      <c r="I21" s="25">
        <f>($K$22*75/100)/'ny m2'!$F$17*'ny m2'!F16</f>
        <v>513779.07092738186</v>
      </c>
      <c r="J21" s="25">
        <f>(K$22*25/100)/'Formål 2'!L$46*'Formål 2'!K46</f>
        <v>135835.5952138608</v>
      </c>
      <c r="K21" s="25">
        <f>SUM(I21:J21)</f>
        <v>649614.66614124272</v>
      </c>
      <c r="L21" s="25">
        <f t="shared" si="6"/>
        <v>513779.07092738181</v>
      </c>
      <c r="M21" s="25">
        <f t="shared" si="7"/>
        <v>170596.46442944588</v>
      </c>
      <c r="N21" s="25">
        <f t="shared" si="8"/>
        <v>684375.53535682766</v>
      </c>
      <c r="O21" s="132">
        <f t="shared" si="9"/>
        <v>1.5816396948053306</v>
      </c>
      <c r="P21" s="133">
        <f t="shared" si="10"/>
        <v>713171.27219215466</v>
      </c>
      <c r="Q21" s="25">
        <f>(S22*70/100)/'Formål 3 skal'!M14*'Formål 3 skal'!K14</f>
        <v>792716.48097880324</v>
      </c>
      <c r="R21" s="25">
        <f>(S22*30/100)/'Formål 3 kan'!G12*'Formål 3 kan'!G11</f>
        <v>895408.44740346202</v>
      </c>
      <c r="S21" s="25">
        <f t="shared" si="3"/>
        <v>1688124.9283822654</v>
      </c>
      <c r="T21" s="25">
        <f>(V22*70/100)/'Formål 3 skal'!M34*'Formål 3 skal'!K34</f>
        <v>1046957.9983575281</v>
      </c>
      <c r="U21" s="25">
        <f>(V22*30/100)/'Formål 3 kan'!J12*'Formål 3 kan'!J11</f>
        <v>868258.62378393661</v>
      </c>
      <c r="V21" s="25">
        <f t="shared" si="4"/>
        <v>1915216.6221414646</v>
      </c>
      <c r="W21" s="25">
        <f>(Y$22*70/100)/'Formål 3 skal'!M$52*'Formål 3 skal'!K52</f>
        <v>642584.48828381801</v>
      </c>
      <c r="X21" s="25">
        <f>(Y$22*30/100)/'Formål 3 kan'!Q$12*'Formål 3 kan'!Q11</f>
        <v>559901.55803389824</v>
      </c>
      <c r="Y21" s="25">
        <f t="shared" si="5"/>
        <v>1202486.0463177161</v>
      </c>
      <c r="Z21" s="25">
        <f t="shared" si="11"/>
        <v>827419.65587338305</v>
      </c>
      <c r="AA21" s="25">
        <f t="shared" si="12"/>
        <v>774522.87640709896</v>
      </c>
      <c r="AB21" s="25">
        <f t="shared" si="13"/>
        <v>1601942.5322804819</v>
      </c>
      <c r="AC21" s="132">
        <f t="shared" si="14"/>
        <v>3.7022011555844587</v>
      </c>
      <c r="AD21" s="133">
        <f t="shared" si="15"/>
        <v>1669345.7534678304</v>
      </c>
      <c r="AE21" s="139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</row>
    <row r="22" spans="1:47" s="2" customFormat="1">
      <c r="A22" s="23" t="s">
        <v>3</v>
      </c>
      <c r="B22" s="23"/>
      <c r="C22" s="26">
        <f t="shared" ref="C22:D22" si="16">SUM(C13:C21)</f>
        <v>9008141.25</v>
      </c>
      <c r="D22" s="26">
        <f t="shared" si="16"/>
        <v>3002713.7499999995</v>
      </c>
      <c r="E22" s="26">
        <v>12010855</v>
      </c>
      <c r="F22" s="26">
        <f t="shared" ref="F22:G22" si="17">SUM(F13:F21)</f>
        <v>9008141.25</v>
      </c>
      <c r="G22" s="26">
        <f t="shared" si="17"/>
        <v>3002713.75</v>
      </c>
      <c r="H22" s="26">
        <v>12010855</v>
      </c>
      <c r="I22" s="26">
        <f>SUM(I13:I21)</f>
        <v>9008141.25</v>
      </c>
      <c r="J22" s="26">
        <f t="shared" ref="J22" si="18">SUM(J13:J21)</f>
        <v>3002713.75</v>
      </c>
      <c r="K22" s="26">
        <v>12010855</v>
      </c>
      <c r="L22" s="26">
        <v>9008141.2500000019</v>
      </c>
      <c r="M22" s="26">
        <v>3002713.75</v>
      </c>
      <c r="N22" s="26">
        <v>12010855</v>
      </c>
      <c r="O22" s="134">
        <f>SUM(O13:O21)</f>
        <v>27.757925371552453</v>
      </c>
      <c r="P22" s="134">
        <f t="shared" si="10"/>
        <v>12516222.889234882</v>
      </c>
      <c r="Q22" s="26">
        <f>SUM(Q13:Q21)</f>
        <v>14709881.9</v>
      </c>
      <c r="R22" s="26">
        <f>SUM(R13:R21)</f>
        <v>6304235.0999999987</v>
      </c>
      <c r="S22" s="26">
        <f>21570791-556674</f>
        <v>21014117</v>
      </c>
      <c r="T22" s="26">
        <f>SUM(T13:T21)</f>
        <v>14709881.899999999</v>
      </c>
      <c r="U22" s="26">
        <f>SUM(U13:U21)</f>
        <v>6304235.0999999996</v>
      </c>
      <c r="V22" s="26">
        <f>21570791-556674</f>
        <v>21014117</v>
      </c>
      <c r="W22" s="26">
        <f>SUM(W13:W21)</f>
        <v>14709881.900000004</v>
      </c>
      <c r="X22" s="26">
        <f>SUM(X13:X21)</f>
        <v>6304235.0999999987</v>
      </c>
      <c r="Y22" s="26">
        <f>21570791-556674</f>
        <v>21014117</v>
      </c>
      <c r="Z22" s="26">
        <f>SUM(Z13:Z21)</f>
        <v>14709881.900000002</v>
      </c>
      <c r="AA22" s="26">
        <f>SUM(AA13:AA21)</f>
        <v>6304235.0999999996</v>
      </c>
      <c r="AB22" s="26">
        <f>21570791-556674</f>
        <v>21014117</v>
      </c>
      <c r="AC22" s="134">
        <f>SUM(AC13:AC21)</f>
        <v>48.565093112444679</v>
      </c>
      <c r="AD22" s="134">
        <f t="shared" si="15"/>
        <v>21898305.507181615</v>
      </c>
      <c r="AE22" s="140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</row>
    <row r="23" spans="1:47">
      <c r="A23" s="22"/>
      <c r="B23" s="22"/>
      <c r="C23" s="25"/>
      <c r="D23" s="25"/>
      <c r="E23" s="25">
        <f>E13+E14+E15+E16+E17+E18+E19+E20+E21</f>
        <v>12010855.000000002</v>
      </c>
      <c r="F23" s="25"/>
      <c r="G23" s="25"/>
      <c r="H23" s="25">
        <f>H13+H14+H15+H16+H17+H18+H19+H20+H21</f>
        <v>12010855</v>
      </c>
      <c r="I23" s="25"/>
      <c r="J23" s="25"/>
      <c r="K23" s="25">
        <f>K13+K14+K15+K16+K17+K18+K19+K20+K21</f>
        <v>12010855</v>
      </c>
      <c r="L23" s="25"/>
      <c r="M23" s="25"/>
      <c r="N23" s="25">
        <f>SUM(N13:N21)</f>
        <v>12010855</v>
      </c>
      <c r="O23" s="25"/>
      <c r="P23" s="25"/>
      <c r="Q23" s="25"/>
      <c r="R23" s="25"/>
      <c r="S23" s="25">
        <f>S13+S14+S15+S16+S17+S18+S19+S20+S21</f>
        <v>21014117.000000004</v>
      </c>
      <c r="T23" s="25"/>
      <c r="U23" s="25"/>
      <c r="V23" s="25">
        <f>V13+V14+V15+V16+V17+V18+V19+V20+V21</f>
        <v>21014117</v>
      </c>
      <c r="W23" s="25"/>
      <c r="X23" s="25"/>
      <c r="Y23" s="25">
        <f>Y13+Y14+Y15+Y16+Y17+Y18+Y19+Y20+Y21</f>
        <v>21014117.000000004</v>
      </c>
      <c r="Z23" s="25"/>
      <c r="AA23" s="25"/>
      <c r="AB23" s="25">
        <f>SUM(AB13:AB21)</f>
        <v>21014117</v>
      </c>
      <c r="AC23" s="25"/>
      <c r="AD23" s="25"/>
      <c r="AE23" s="139"/>
      <c r="AF23" s="25"/>
      <c r="AG23" s="25"/>
      <c r="AH23" s="25"/>
      <c r="AI23" s="25"/>
      <c r="AJ23" s="25"/>
      <c r="AK23" s="25"/>
      <c r="AL23" s="25"/>
      <c r="AM23" s="26"/>
      <c r="AN23" s="26"/>
      <c r="AO23" s="25"/>
      <c r="AP23" s="25"/>
      <c r="AQ23" s="22"/>
      <c r="AR23" s="22"/>
      <c r="AS23" s="22"/>
      <c r="AT23" s="22"/>
      <c r="AU23" s="22"/>
    </row>
    <row r="24" spans="1:47" s="2" customFormat="1">
      <c r="A24" s="23" t="s">
        <v>0</v>
      </c>
      <c r="B24" s="23"/>
      <c r="C24" s="26">
        <f>E37/$AG37*100</f>
        <v>21.828926838424547</v>
      </c>
      <c r="D24" s="26"/>
      <c r="E24" s="26"/>
      <c r="F24" s="26">
        <f>H37/$AG37*100</f>
        <v>21.828926838424547</v>
      </c>
      <c r="G24" s="26"/>
      <c r="H24" s="26"/>
      <c r="I24" s="26"/>
      <c r="J24" s="26"/>
      <c r="K24" s="26"/>
      <c r="L24" s="26">
        <f>N37/AI37*100</f>
        <v>21.829150580115989</v>
      </c>
      <c r="M24" s="26"/>
      <c r="N24" s="26"/>
      <c r="O24" s="26"/>
      <c r="P24" s="26"/>
      <c r="Q24" s="107">
        <f>R37/$AG37*100</f>
        <v>1.848836963686485</v>
      </c>
      <c r="R24" s="26"/>
      <c r="S24" s="23"/>
      <c r="T24" s="23"/>
      <c r="U24" s="26"/>
      <c r="V24" s="26"/>
      <c r="W24" s="26"/>
      <c r="X24" s="26"/>
      <c r="Y24" s="26"/>
      <c r="Z24" s="26"/>
      <c r="AA24" s="26"/>
      <c r="AB24" s="26">
        <f>AD37/AI37*100</f>
        <v>1.9266482451022728</v>
      </c>
      <c r="AC24" s="26"/>
      <c r="AD24" s="26"/>
      <c r="AE24" s="140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3"/>
      <c r="AR24" s="23"/>
      <c r="AS24" s="23"/>
      <c r="AT24" s="23"/>
      <c r="AU24" s="23"/>
    </row>
    <row r="25" spans="1:47" s="7" customFormat="1" ht="15.6" customHeight="1">
      <c r="A25" s="98"/>
      <c r="B25" s="27"/>
      <c r="C25" s="98" t="s">
        <v>13</v>
      </c>
      <c r="D25" s="27"/>
      <c r="E25" s="27"/>
      <c r="F25" s="98" t="s">
        <v>13</v>
      </c>
      <c r="G25" s="27"/>
      <c r="H25" s="27"/>
      <c r="I25" s="108"/>
      <c r="J25" s="108"/>
      <c r="K25" s="108"/>
      <c r="L25" s="108"/>
      <c r="M25" s="108"/>
      <c r="N25" s="27"/>
      <c r="O25" s="27"/>
      <c r="P25" s="27"/>
      <c r="Q25" s="98" t="s">
        <v>21</v>
      </c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141"/>
      <c r="AF25" s="109" t="s">
        <v>3</v>
      </c>
      <c r="AG25" s="109" t="s">
        <v>3</v>
      </c>
      <c r="AH25" s="109" t="s">
        <v>3</v>
      </c>
      <c r="AI25" s="109" t="s">
        <v>3</v>
      </c>
      <c r="AJ25" s="135" t="s">
        <v>160</v>
      </c>
      <c r="AK25" s="109"/>
      <c r="AL25" s="27"/>
      <c r="AM25" s="27"/>
      <c r="AN25" s="27" t="s">
        <v>72</v>
      </c>
      <c r="AO25" s="27"/>
      <c r="AP25" s="27"/>
      <c r="AQ25" s="27"/>
      <c r="AR25" s="27"/>
      <c r="AS25" s="27"/>
      <c r="AT25" s="27"/>
      <c r="AU25" s="27"/>
    </row>
    <row r="26" spans="1:47" s="7" customFormat="1" ht="15.6" customHeight="1">
      <c r="A26" s="98"/>
      <c r="B26" s="27"/>
      <c r="C26" s="98"/>
      <c r="D26" s="98">
        <v>2016</v>
      </c>
      <c r="E26" s="27"/>
      <c r="F26" s="98"/>
      <c r="G26" s="98">
        <v>2015</v>
      </c>
      <c r="H26" s="27"/>
      <c r="I26" s="98"/>
      <c r="J26" s="98">
        <v>2014</v>
      </c>
      <c r="K26" s="27"/>
      <c r="L26" s="98"/>
      <c r="M26" s="98"/>
      <c r="N26" s="27"/>
      <c r="O26" s="27"/>
      <c r="P26" s="27"/>
      <c r="Q26" s="98">
        <v>2016</v>
      </c>
      <c r="R26" s="98">
        <v>2015</v>
      </c>
      <c r="S26" s="98">
        <v>2014</v>
      </c>
      <c r="T26" s="27"/>
      <c r="U26" s="98"/>
      <c r="V26" s="98"/>
      <c r="W26" s="98"/>
      <c r="X26" s="98"/>
      <c r="Y26" s="27"/>
      <c r="Z26" s="98"/>
      <c r="AA26" s="27"/>
      <c r="AB26" s="27"/>
      <c r="AC26" s="27"/>
      <c r="AD26" s="27"/>
      <c r="AE26" s="141"/>
      <c r="AF26" s="110">
        <v>2016</v>
      </c>
      <c r="AG26" s="110">
        <v>2015</v>
      </c>
      <c r="AH26" s="110">
        <v>2014</v>
      </c>
      <c r="AI26" s="110" t="s">
        <v>159</v>
      </c>
      <c r="AJ26" s="136" t="s">
        <v>158</v>
      </c>
      <c r="AK26" s="110"/>
      <c r="AL26" s="27"/>
      <c r="AM26" s="27"/>
      <c r="AN26" s="110">
        <v>2016</v>
      </c>
      <c r="AO26" s="110" t="s">
        <v>73</v>
      </c>
      <c r="AP26" s="110">
        <v>2015</v>
      </c>
      <c r="AQ26" s="110" t="s">
        <v>73</v>
      </c>
      <c r="AR26" s="110">
        <v>2014</v>
      </c>
      <c r="AS26" s="110" t="s">
        <v>73</v>
      </c>
      <c r="AT26" s="110"/>
      <c r="AU26" s="110" t="s">
        <v>73</v>
      </c>
    </row>
    <row r="27" spans="1:47" s="7" customFormat="1" ht="62.25" customHeight="1">
      <c r="A27" s="98"/>
      <c r="B27" s="27"/>
      <c r="C27" s="24" t="s">
        <v>15</v>
      </c>
      <c r="D27" s="24" t="s">
        <v>16</v>
      </c>
      <c r="E27" s="24" t="s">
        <v>3</v>
      </c>
      <c r="F27" s="24" t="s">
        <v>15</v>
      </c>
      <c r="G27" s="24" t="s">
        <v>16</v>
      </c>
      <c r="H27" s="24" t="s">
        <v>3</v>
      </c>
      <c r="I27" s="24" t="s">
        <v>15</v>
      </c>
      <c r="J27" s="24" t="s">
        <v>16</v>
      </c>
      <c r="K27" s="24" t="s">
        <v>3</v>
      </c>
      <c r="L27" s="24" t="s">
        <v>15</v>
      </c>
      <c r="M27" s="24" t="s">
        <v>16</v>
      </c>
      <c r="N27" s="24" t="s">
        <v>3</v>
      </c>
      <c r="O27" s="131" t="s">
        <v>157</v>
      </c>
      <c r="P27" s="131" t="s">
        <v>158</v>
      </c>
      <c r="Q27" s="99" t="s">
        <v>22</v>
      </c>
      <c r="R27" s="99" t="s">
        <v>22</v>
      </c>
      <c r="S27" s="99" t="s">
        <v>22</v>
      </c>
      <c r="T27" s="27"/>
      <c r="U27" s="99"/>
      <c r="V27" s="99"/>
      <c r="W27" s="99"/>
      <c r="X27" s="99"/>
      <c r="Y27" s="100"/>
      <c r="AA27" s="27"/>
      <c r="AB27" s="99" t="s">
        <v>22</v>
      </c>
      <c r="AC27" s="131" t="s">
        <v>157</v>
      </c>
      <c r="AD27" s="131" t="s">
        <v>158</v>
      </c>
      <c r="AE27" s="143"/>
      <c r="AF27" s="105"/>
      <c r="AG27" s="105"/>
      <c r="AH27" s="105"/>
      <c r="AI27" s="105"/>
      <c r="AJ27" s="137"/>
      <c r="AK27" s="105"/>
      <c r="AL27" s="27"/>
      <c r="AM27" s="100" t="s">
        <v>14</v>
      </c>
      <c r="AN27" s="105"/>
      <c r="AO27" s="105"/>
      <c r="AP27" s="105"/>
      <c r="AQ27" s="105"/>
      <c r="AR27" s="105"/>
      <c r="AS27" s="105"/>
      <c r="AT27" s="105"/>
      <c r="AU27" s="105"/>
    </row>
    <row r="28" spans="1:47">
      <c r="A28" s="23" t="s">
        <v>4</v>
      </c>
      <c r="B28" s="22"/>
      <c r="C28" s="25">
        <f>(E37*50/100)/9.5</f>
        <v>497130.21052631579</v>
      </c>
      <c r="D28" s="25">
        <f>(E$37*50/100)/Indbyggere!F$12*Indbyggere!F3</f>
        <v>517276.13085753721</v>
      </c>
      <c r="E28" s="25">
        <f t="shared" ref="E28:E36" si="19">SUM(C28:D28)</f>
        <v>1014406.341383853</v>
      </c>
      <c r="F28" s="25">
        <f>(H37*50/100)/9.5</f>
        <v>497130.21052631579</v>
      </c>
      <c r="G28" s="25">
        <f>(H$37*50/100)/Indbyggere!G$12*Indbyggere!G3</f>
        <v>516513.58370396914</v>
      </c>
      <c r="H28" s="25">
        <f t="shared" ref="H28:H36" si="20">SUM(F28:G28)</f>
        <v>1013643.7942302849</v>
      </c>
      <c r="I28" s="25">
        <f>(K37*50/100)/9.5</f>
        <v>497130.21052631579</v>
      </c>
      <c r="J28" s="25">
        <f>(K$37*50/100)/Indbyggere!H12*Indbyggere!H3</f>
        <v>520789.16259832424</v>
      </c>
      <c r="K28" s="25">
        <f t="shared" ref="K28:K36" si="21">SUM(I28:J28)</f>
        <v>1017919.37312464</v>
      </c>
      <c r="L28" s="25">
        <f>(C28+F28+I28)/3</f>
        <v>497130.21052631579</v>
      </c>
      <c r="M28" s="25">
        <f>(D28+G28+J28)/3</f>
        <v>518192.95905327686</v>
      </c>
      <c r="N28" s="25">
        <f t="shared" ref="N28:N36" si="22">SUM(L28:M28)</f>
        <v>1015323.1695795926</v>
      </c>
      <c r="O28" s="132">
        <f>N28/$AI$37*100</f>
        <v>2.3464828081929578</v>
      </c>
      <c r="P28" s="133">
        <f>$L$6*O28/100</f>
        <v>1058043.8357687781</v>
      </c>
      <c r="Q28" s="25">
        <v>50000</v>
      </c>
      <c r="R28" s="25">
        <v>50000</v>
      </c>
      <c r="S28" s="25">
        <v>50000</v>
      </c>
      <c r="T28" s="22"/>
      <c r="U28" s="25"/>
      <c r="V28" s="25"/>
      <c r="W28" s="25"/>
      <c r="X28" s="25"/>
      <c r="Y28" s="22"/>
      <c r="AA28" s="22"/>
      <c r="AB28" s="25">
        <v>50000</v>
      </c>
      <c r="AC28" s="132">
        <f t="shared" ref="AC28:AC36" si="23">AB28/$AI$37*100</f>
        <v>0.11555349461613038</v>
      </c>
      <c r="AD28" s="133">
        <f>$L$6*AC28/100</f>
        <v>52103.796479246819</v>
      </c>
      <c r="AE28" s="139"/>
      <c r="AF28" s="25">
        <f>E13+S13+Q28+E28+U28</f>
        <v>3446347.6617582138</v>
      </c>
      <c r="AG28" s="25">
        <f>H13+V13+R28+H28+V28</f>
        <v>3871271.8858849248</v>
      </c>
      <c r="AH28" s="25">
        <f>K13+Y13+AB28+K28+X28</f>
        <v>4099070.3848494287</v>
      </c>
      <c r="AI28" s="25">
        <f t="shared" ref="AI28:AI36" si="24">N13+AB13+AB28+N28</f>
        <v>3805563.3108308557</v>
      </c>
      <c r="AJ28" s="133">
        <f t="shared" ref="AJ28:AJ37" si="25">P13+AD13+P28+AD28</f>
        <v>3965685.9247283931</v>
      </c>
      <c r="AK28" s="25"/>
      <c r="AL28" s="22"/>
      <c r="AM28" s="111">
        <v>3876083</v>
      </c>
      <c r="AN28" s="25">
        <f>AM28-AF28</f>
        <v>429735.33824178623</v>
      </c>
      <c r="AO28" s="25">
        <f>AN28/AI28*100</f>
        <v>11.292292445082554</v>
      </c>
      <c r="AP28" s="25">
        <f>AM28-AG28</f>
        <v>4811.1141150752082</v>
      </c>
      <c r="AQ28" s="25">
        <f>AP28/AM28*100</f>
        <v>0.12412309321227662</v>
      </c>
      <c r="AR28" s="25">
        <f>AM28-AH28</f>
        <v>-222987.38484942866</v>
      </c>
      <c r="AS28" s="25">
        <f>AR28/AM28*100</f>
        <v>-5.7529053131583785</v>
      </c>
      <c r="AT28" s="25">
        <f>AM28-AI28</f>
        <v>70519.689169144258</v>
      </c>
      <c r="AU28" s="25">
        <f>AT28/AM28*100</f>
        <v>1.8193544660716567</v>
      </c>
    </row>
    <row r="29" spans="1:47">
      <c r="A29" s="23" t="s">
        <v>5</v>
      </c>
      <c r="B29" s="22"/>
      <c r="C29" s="25">
        <f>(E37*50/100)/9.5</f>
        <v>497130.21052631579</v>
      </c>
      <c r="D29" s="25">
        <f>(E$37*50/100)/Indbyggere!F$12*Indbyggere!F4</f>
        <v>727573.86294251727</v>
      </c>
      <c r="E29" s="25">
        <f t="shared" si="19"/>
        <v>1224704.073468833</v>
      </c>
      <c r="F29" s="25">
        <f>(H37*50/100)/9.5</f>
        <v>497130.21052631579</v>
      </c>
      <c r="G29" s="25">
        <f>(H$37*50/100)/Indbyggere!G$12*Indbyggere!G4</f>
        <v>727658.48320018547</v>
      </c>
      <c r="H29" s="25">
        <f t="shared" si="20"/>
        <v>1224788.6937265012</v>
      </c>
      <c r="I29" s="25">
        <f>(K37*50/100)/9.5</f>
        <v>497130.21052631579</v>
      </c>
      <c r="J29" s="25">
        <f>(K37*50/100)/Indbyggere!H12*Indbyggere!H4</f>
        <v>736463.91466099524</v>
      </c>
      <c r="K29" s="25">
        <f t="shared" si="21"/>
        <v>1233594.1251873111</v>
      </c>
      <c r="L29" s="25">
        <f>(N37*50/100)/9.5</f>
        <v>497130.21052631579</v>
      </c>
      <c r="M29" s="25">
        <f>(N$37*50/100)/Indbyggere!I$12*Indbyggere!I4</f>
        <v>732030.50023879006</v>
      </c>
      <c r="N29" s="25">
        <f t="shared" si="22"/>
        <v>1229160.7107651059</v>
      </c>
      <c r="O29" s="132">
        <f t="shared" ref="O29:O36" si="26">N29/$AI$37*100</f>
        <v>2.840676311475093</v>
      </c>
      <c r="P29" s="133">
        <f t="shared" ref="P29:P37" si="27">$L$6*O29/100</f>
        <v>1280878.7902798289</v>
      </c>
      <c r="Q29" s="25">
        <v>150000</v>
      </c>
      <c r="R29" s="25">
        <v>150000</v>
      </c>
      <c r="S29" s="25">
        <v>150000</v>
      </c>
      <c r="T29" s="22"/>
      <c r="U29" s="25"/>
      <c r="V29" s="25"/>
      <c r="W29" s="25"/>
      <c r="X29" s="25"/>
      <c r="Y29" s="22"/>
      <c r="AA29" s="22"/>
      <c r="AB29" s="25">
        <v>150000</v>
      </c>
      <c r="AC29" s="132">
        <f t="shared" si="23"/>
        <v>0.34666048384839115</v>
      </c>
      <c r="AD29" s="133">
        <f t="shared" ref="AD29:AD37" si="28">$L$6*AC29/100</f>
        <v>156311.38943774049</v>
      </c>
      <c r="AE29" s="139"/>
      <c r="AF29" s="25">
        <f>E14+S14+Q29+E29+U29</f>
        <v>5570221.7220633868</v>
      </c>
      <c r="AG29" s="25">
        <f>H14+V14+R29+H29</f>
        <v>5606925.0902983835</v>
      </c>
      <c r="AH29" s="25">
        <f>K14+Y14+AB29+K29+X29</f>
        <v>5333089.1700639613</v>
      </c>
      <c r="AI29" s="25">
        <f t="shared" si="24"/>
        <v>5504877.0741128009</v>
      </c>
      <c r="AJ29" s="133">
        <f t="shared" si="25"/>
        <v>5736499.8942569029</v>
      </c>
      <c r="AK29" s="25"/>
      <c r="AL29" s="22"/>
      <c r="AM29" s="111">
        <v>5363731</v>
      </c>
      <c r="AN29" s="25">
        <f t="shared" ref="AN29:AN36" si="29">AM29-AF29</f>
        <v>-206490.72206338681</v>
      </c>
      <c r="AO29" s="25">
        <f t="shared" ref="AO29:AO36" si="30">AN29/AI29*100</f>
        <v>-3.7510505554143752</v>
      </c>
      <c r="AP29" s="25">
        <f t="shared" ref="AP29:AP36" si="31">AM29-AG29</f>
        <v>-243194.0902983835</v>
      </c>
      <c r="AQ29" s="25">
        <f t="shared" ref="AQ29:AQ36" si="32">AP29/AM29*100</f>
        <v>-4.5340471082234268</v>
      </c>
      <c r="AR29" s="25">
        <f t="shared" ref="AR29:AR36" si="33">AM29-AH29</f>
        <v>30641.829936038703</v>
      </c>
      <c r="AS29" s="25">
        <f t="shared" ref="AS29:AS36" si="34">AR29/AM29*100</f>
        <v>0.57127827506708861</v>
      </c>
      <c r="AT29" s="25">
        <f t="shared" ref="AT29:AT36" si="35">AM29-AI29</f>
        <v>-141146.07411280088</v>
      </c>
      <c r="AU29" s="25">
        <f t="shared" ref="AU29:AU36" si="36">AT29/AM29*100</f>
        <v>-2.6314905447868449</v>
      </c>
    </row>
    <row r="30" spans="1:47">
      <c r="A30" s="23" t="s">
        <v>6</v>
      </c>
      <c r="B30" s="22"/>
      <c r="C30" s="25">
        <f>(E37*50/100)/9.5</f>
        <v>497130.21052631579</v>
      </c>
      <c r="D30" s="25">
        <f>(E$37*50/100)/Indbyggere!F$12*Indbyggere!F5</f>
        <v>451999.39880392281</v>
      </c>
      <c r="E30" s="25">
        <f t="shared" si="19"/>
        <v>949129.60933023854</v>
      </c>
      <c r="F30" s="25">
        <f>(H37*50/100)/9.5</f>
        <v>497130.21052631579</v>
      </c>
      <c r="G30" s="25">
        <f>(H$37*50/100)/Indbyggere!G$12*Indbyggere!G5</f>
        <v>452901.32968318544</v>
      </c>
      <c r="H30" s="25">
        <f t="shared" si="20"/>
        <v>950031.54020950128</v>
      </c>
      <c r="I30" s="25">
        <f>(K37*50/100)/9.5</f>
        <v>497130.21052631579</v>
      </c>
      <c r="J30" s="25">
        <f>(K37*50/100)/Indbyggere!H12*Indbyggere!H5</f>
        <v>455930.26805104309</v>
      </c>
      <c r="K30" s="25">
        <f t="shared" si="21"/>
        <v>953060.47857735888</v>
      </c>
      <c r="L30" s="25">
        <f>(N37*50/100)/9.5</f>
        <v>497130.21052631579</v>
      </c>
      <c r="M30" s="25">
        <f>(N$37*50/100)/Indbyggere!I$12*Indbyggere!I5</f>
        <v>454405.2389705492</v>
      </c>
      <c r="N30" s="25">
        <f t="shared" si="22"/>
        <v>951535.44949686504</v>
      </c>
      <c r="O30" s="132">
        <f t="shared" si="26"/>
        <v>2.199064928809864</v>
      </c>
      <c r="P30" s="133">
        <f t="shared" si="27"/>
        <v>991572.18806746602</v>
      </c>
      <c r="Q30" s="25">
        <v>100000</v>
      </c>
      <c r="R30" s="25">
        <v>100000</v>
      </c>
      <c r="S30" s="25">
        <v>100000</v>
      </c>
      <c r="T30" s="22"/>
      <c r="U30" s="25"/>
      <c r="V30" s="25"/>
      <c r="W30" s="25"/>
      <c r="X30" s="25"/>
      <c r="Y30" s="22"/>
      <c r="AA30" s="22"/>
      <c r="AB30" s="25">
        <v>100000</v>
      </c>
      <c r="AC30" s="132">
        <f t="shared" si="23"/>
        <v>0.23110698923226075</v>
      </c>
      <c r="AD30" s="133">
        <f t="shared" si="28"/>
        <v>104207.59295849364</v>
      </c>
      <c r="AE30" s="139"/>
      <c r="AF30" s="25">
        <f>E15+S15+Q30+E30+U30+Y30</f>
        <v>5935931.01151127</v>
      </c>
      <c r="AG30" s="25">
        <f>H15+V15+R30+H30+V30+Y30</f>
        <v>5605451.9109830949</v>
      </c>
      <c r="AH30" s="25">
        <f>K15+Y15+AB30+K30+X30+Y30</f>
        <v>5615937.5348200025</v>
      </c>
      <c r="AI30" s="25">
        <f t="shared" si="24"/>
        <v>5719901.7258959543</v>
      </c>
      <c r="AJ30" s="133">
        <f t="shared" si="25"/>
        <v>5960571.9081475092</v>
      </c>
      <c r="AK30" s="25"/>
      <c r="AL30" s="22"/>
      <c r="AM30" s="111">
        <v>5040350</v>
      </c>
      <c r="AN30" s="25">
        <f t="shared" si="29"/>
        <v>-895581.01151126996</v>
      </c>
      <c r="AO30" s="25">
        <f t="shared" si="30"/>
        <v>-15.657279695150494</v>
      </c>
      <c r="AP30" s="25">
        <f t="shared" si="31"/>
        <v>-565101.91098309495</v>
      </c>
      <c r="AQ30" s="25">
        <f t="shared" si="32"/>
        <v>-11.211560923013183</v>
      </c>
      <c r="AR30" s="25">
        <f t="shared" si="33"/>
        <v>-575587.5348200025</v>
      </c>
      <c r="AS30" s="25">
        <f t="shared" si="34"/>
        <v>-11.419594568234398</v>
      </c>
      <c r="AT30" s="25">
        <f t="shared" si="35"/>
        <v>-679551.7258959543</v>
      </c>
      <c r="AU30" s="25">
        <f t="shared" si="36"/>
        <v>-13.482232898428768</v>
      </c>
    </row>
    <row r="31" spans="1:47">
      <c r="A31" s="23" t="s">
        <v>7</v>
      </c>
      <c r="B31" s="22"/>
      <c r="C31" s="25">
        <f>(E37*50/100)/9.5</f>
        <v>497130.21052631579</v>
      </c>
      <c r="D31" s="25">
        <f>(E$37*50/100)/Indbyggere!F$12*Indbyggere!F6</f>
        <v>246343.12875603791</v>
      </c>
      <c r="E31" s="25">
        <f t="shared" si="19"/>
        <v>743473.33928235364</v>
      </c>
      <c r="F31" s="25">
        <f>(H37*50/100)/9.5</f>
        <v>497130.21052631579</v>
      </c>
      <c r="G31" s="25">
        <f>(H$37*50/100)/Indbyggere!G$12*Indbyggere!G6</f>
        <v>247580.08724520984</v>
      </c>
      <c r="H31" s="25">
        <f t="shared" si="20"/>
        <v>744710.29777152557</v>
      </c>
      <c r="I31" s="25">
        <f>(K37*50/100)/9.5</f>
        <v>497130.21052631579</v>
      </c>
      <c r="J31" s="25">
        <f>(K37*50/100)/Indbyggere!H12*Indbyggere!H6</f>
        <v>249037.96552240083</v>
      </c>
      <c r="K31" s="25">
        <f t="shared" si="21"/>
        <v>746168.17604871665</v>
      </c>
      <c r="L31" s="25">
        <f>(N37*50/100)/9.5</f>
        <v>497130.21052631579</v>
      </c>
      <c r="M31" s="25">
        <f>(N$37*50/100)/Indbyggere!I$12*Indbyggere!I6</f>
        <v>248303.94373043245</v>
      </c>
      <c r="N31" s="25">
        <f t="shared" si="22"/>
        <v>745434.15425674827</v>
      </c>
      <c r="O31" s="132">
        <f t="shared" si="26"/>
        <v>1.7227504306117372</v>
      </c>
      <c r="P31" s="133">
        <f t="shared" si="27"/>
        <v>776798.98924146185</v>
      </c>
      <c r="Q31" s="25">
        <v>50000</v>
      </c>
      <c r="R31" s="25">
        <v>50000</v>
      </c>
      <c r="S31" s="25">
        <v>50000</v>
      </c>
      <c r="T31" s="22"/>
      <c r="U31" s="25"/>
      <c r="V31" s="25"/>
      <c r="W31" s="25"/>
      <c r="X31" s="25"/>
      <c r="Y31" s="22"/>
      <c r="AA31" s="22"/>
      <c r="AB31" s="25">
        <v>50000</v>
      </c>
      <c r="AC31" s="132">
        <f t="shared" si="23"/>
        <v>0.11555349461613038</v>
      </c>
      <c r="AD31" s="133">
        <f t="shared" si="28"/>
        <v>52103.796479246819</v>
      </c>
      <c r="AE31" s="139"/>
      <c r="AF31" s="25">
        <f>E16+S16+Q31+E31+U31</f>
        <v>3787780.8887598393</v>
      </c>
      <c r="AG31" s="25">
        <f>H16+V16+R31+H31</f>
        <v>3615660.3286528336</v>
      </c>
      <c r="AH31" s="25">
        <f>K16+Y16+AB31+K31+X31</f>
        <v>3808457.5426072199</v>
      </c>
      <c r="AI31" s="25">
        <f t="shared" si="24"/>
        <v>3737949.8032291802</v>
      </c>
      <c r="AJ31" s="133">
        <f t="shared" si="25"/>
        <v>3895227.5159418788</v>
      </c>
      <c r="AK31" s="25"/>
      <c r="AL31" s="22"/>
      <c r="AM31" s="111">
        <v>3474834</v>
      </c>
      <c r="AN31" s="25">
        <f t="shared" si="29"/>
        <v>-312946.88875983935</v>
      </c>
      <c r="AO31" s="25">
        <f t="shared" si="30"/>
        <v>-8.3721533255873961</v>
      </c>
      <c r="AP31" s="25">
        <f t="shared" si="31"/>
        <v>-140826.32865283359</v>
      </c>
      <c r="AQ31" s="25">
        <f t="shared" si="32"/>
        <v>-4.0527498192095965</v>
      </c>
      <c r="AR31" s="25">
        <f t="shared" si="33"/>
        <v>-333623.54260721989</v>
      </c>
      <c r="AS31" s="25">
        <f t="shared" si="34"/>
        <v>-9.6011361293005617</v>
      </c>
      <c r="AT31" s="25">
        <f t="shared" si="35"/>
        <v>-263115.80322918016</v>
      </c>
      <c r="AU31" s="25">
        <f t="shared" si="36"/>
        <v>-7.5720395054606966</v>
      </c>
    </row>
    <row r="32" spans="1:47">
      <c r="A32" s="23" t="s">
        <v>8</v>
      </c>
      <c r="B32" s="22"/>
      <c r="C32" s="25">
        <f>(E37*50/100)/9.5</f>
        <v>497130.21052631579</v>
      </c>
      <c r="D32" s="25">
        <f>(E$37*50/100)/Indbyggere!F$12*Indbyggere!F7</f>
        <v>561320.64295422705</v>
      </c>
      <c r="E32" s="25">
        <f t="shared" si="19"/>
        <v>1058450.8534805428</v>
      </c>
      <c r="F32" s="25">
        <f>(H37*50/100)/9.5</f>
        <v>497130.21052631579</v>
      </c>
      <c r="G32" s="25">
        <f>(H$37*50/100)/Indbyggere!G$12*Indbyggere!G7</f>
        <v>564148.11194957944</v>
      </c>
      <c r="H32" s="25">
        <f t="shared" si="20"/>
        <v>1061278.3224758953</v>
      </c>
      <c r="I32" s="25">
        <f>(K37*50/100)/9.5</f>
        <v>497130.21052631579</v>
      </c>
      <c r="J32" s="25">
        <f>(K37*50/100)/Indbyggere!H12*Indbyggere!H7</f>
        <v>562379.61326521891</v>
      </c>
      <c r="K32" s="25">
        <f t="shared" si="21"/>
        <v>1059509.8237915346</v>
      </c>
      <c r="L32" s="25">
        <f>(N37*50/100)/9.5</f>
        <v>497130.21052631579</v>
      </c>
      <c r="M32" s="25">
        <f>(N$37*50/100)/Indbyggere!I$12*Indbyggere!I7</f>
        <v>563270.02818784816</v>
      </c>
      <c r="N32" s="25">
        <f t="shared" si="22"/>
        <v>1060400.2387141639</v>
      </c>
      <c r="O32" s="132">
        <f t="shared" si="26"/>
        <v>2.4506590655040101</v>
      </c>
      <c r="P32" s="133">
        <f t="shared" si="27"/>
        <v>1105017.5644901509</v>
      </c>
      <c r="Q32" s="25">
        <v>150000</v>
      </c>
      <c r="R32" s="25">
        <v>150000</v>
      </c>
      <c r="S32" s="25">
        <v>150000</v>
      </c>
      <c r="T32" s="22"/>
      <c r="U32" s="25"/>
      <c r="V32" s="25"/>
      <c r="W32" s="25"/>
      <c r="X32" s="25"/>
      <c r="Y32" s="22"/>
      <c r="AA32" s="22"/>
      <c r="AB32" s="25">
        <v>150000</v>
      </c>
      <c r="AC32" s="132">
        <f t="shared" si="23"/>
        <v>0.34666048384839115</v>
      </c>
      <c r="AD32" s="133">
        <f t="shared" si="28"/>
        <v>156311.38943774049</v>
      </c>
      <c r="AE32" s="139"/>
      <c r="AF32" s="25">
        <f>E17+S17+Q32+E32+U32</f>
        <v>6438586.1058069402</v>
      </c>
      <c r="AG32" s="25">
        <f>H17+V17+R32+H32</f>
        <v>6598146.17582619</v>
      </c>
      <c r="AH32" s="25">
        <f>K17+Y17+AB32+K32+X32</f>
        <v>6666182.830334519</v>
      </c>
      <c r="AI32" s="25">
        <f t="shared" si="24"/>
        <v>6568292.2761207232</v>
      </c>
      <c r="AJ32" s="133">
        <f t="shared" si="25"/>
        <v>6844659.2794240601</v>
      </c>
      <c r="AK32" s="25"/>
      <c r="AL32" s="22"/>
      <c r="AM32" s="111">
        <v>7021987</v>
      </c>
      <c r="AN32" s="25">
        <f t="shared" si="29"/>
        <v>583400.89419305976</v>
      </c>
      <c r="AO32" s="25">
        <f t="shared" si="30"/>
        <v>8.8820787758491804</v>
      </c>
      <c r="AP32" s="25">
        <f t="shared" si="31"/>
        <v>423840.82417380996</v>
      </c>
      <c r="AQ32" s="25">
        <f t="shared" si="32"/>
        <v>6.0359101230721439</v>
      </c>
      <c r="AR32" s="25">
        <f t="shared" si="33"/>
        <v>355804.16966548096</v>
      </c>
      <c r="AS32" s="25">
        <f t="shared" si="34"/>
        <v>5.0670012585537538</v>
      </c>
      <c r="AT32" s="25">
        <f t="shared" si="35"/>
        <v>453694.72387927677</v>
      </c>
      <c r="AU32" s="25">
        <f t="shared" si="36"/>
        <v>6.4610590119189446</v>
      </c>
    </row>
    <row r="33" spans="1:50">
      <c r="A33" s="23" t="s">
        <v>9</v>
      </c>
      <c r="B33" s="22"/>
      <c r="C33" s="25">
        <f>(E37*50/100)/9.5</f>
        <v>497130.21052631579</v>
      </c>
      <c r="D33" s="25">
        <f>(E$37*50/100)/Indbyggere!F$12*Indbyggere!F8</f>
        <v>523250.77879890433</v>
      </c>
      <c r="E33" s="25">
        <f t="shared" si="19"/>
        <v>1020380.9893252201</v>
      </c>
      <c r="F33" s="25">
        <f>(H37*50/100)/9.5</f>
        <v>497130.21052631579</v>
      </c>
      <c r="G33" s="25">
        <f>(H$37*50/100)/Indbyggere!G$12*Indbyggere!G8</f>
        <v>525224.1818680045</v>
      </c>
      <c r="H33" s="25">
        <f t="shared" si="20"/>
        <v>1022354.3923943203</v>
      </c>
      <c r="I33" s="25">
        <f>(K37*50/100)/9.5</f>
        <v>497130.21052631579</v>
      </c>
      <c r="J33" s="25">
        <f>(K37*50/100)/Indbyggere!H12*Indbyggere!H8</f>
        <v>525331.80890902877</v>
      </c>
      <c r="K33" s="25">
        <f t="shared" si="21"/>
        <v>1022462.0194353445</v>
      </c>
      <c r="L33" s="25">
        <f>(N37*50/100)/9.5</f>
        <v>497130.21052631579</v>
      </c>
      <c r="M33" s="25">
        <f>(N$37*50/100)/Indbyggere!I$12*Indbyggere!I8</f>
        <v>525277.62016449985</v>
      </c>
      <c r="N33" s="25">
        <f t="shared" si="22"/>
        <v>1022407.8306908156</v>
      </c>
      <c r="O33" s="132">
        <f t="shared" si="26"/>
        <v>2.3628559551844139</v>
      </c>
      <c r="P33" s="133">
        <f t="shared" si="27"/>
        <v>1065426.5905820499</v>
      </c>
      <c r="Q33" s="25">
        <v>100000</v>
      </c>
      <c r="R33" s="25">
        <v>100000</v>
      </c>
      <c r="S33" s="25">
        <v>100000</v>
      </c>
      <c r="T33" s="22"/>
      <c r="U33" s="25"/>
      <c r="V33" s="25"/>
      <c r="W33" s="25"/>
      <c r="X33" s="25"/>
      <c r="Y33" s="22"/>
      <c r="AA33" s="22"/>
      <c r="AB33" s="25">
        <v>100000</v>
      </c>
      <c r="AC33" s="132">
        <f t="shared" si="23"/>
        <v>0.23110698923226075</v>
      </c>
      <c r="AD33" s="133">
        <f t="shared" si="28"/>
        <v>104207.59295849364</v>
      </c>
      <c r="AE33" s="139"/>
      <c r="AF33" s="25">
        <f>E18+S18+Q33+E33+U33</f>
        <v>4747393.5535825184</v>
      </c>
      <c r="AG33" s="25">
        <f>H18+V18+R33+H33</f>
        <v>4652590.2521374188</v>
      </c>
      <c r="AH33" s="25">
        <f>K18+Y18+AB33+K33+X33</f>
        <v>4649399.3832502505</v>
      </c>
      <c r="AI33" s="25">
        <f t="shared" si="24"/>
        <v>4683803.0932959169</v>
      </c>
      <c r="AJ33" s="133">
        <f t="shared" si="25"/>
        <v>4880878.4624391431</v>
      </c>
      <c r="AK33" s="25"/>
      <c r="AL33" s="22"/>
      <c r="AM33" s="111">
        <v>3946405</v>
      </c>
      <c r="AN33" s="25">
        <f t="shared" si="29"/>
        <v>-800988.55358251836</v>
      </c>
      <c r="AO33" s="25">
        <f t="shared" si="30"/>
        <v>-17.101243105821421</v>
      </c>
      <c r="AP33" s="25">
        <f t="shared" si="31"/>
        <v>-706185.25213741884</v>
      </c>
      <c r="AQ33" s="25">
        <f t="shared" si="32"/>
        <v>-17.894393812531124</v>
      </c>
      <c r="AR33" s="25">
        <f t="shared" si="33"/>
        <v>-702994.38325025048</v>
      </c>
      <c r="AS33" s="25">
        <f t="shared" si="34"/>
        <v>-17.81353873335987</v>
      </c>
      <c r="AT33" s="25">
        <f t="shared" si="35"/>
        <v>-737398.09329591691</v>
      </c>
      <c r="AU33" s="25">
        <f t="shared" si="36"/>
        <v>-18.685312158684091</v>
      </c>
    </row>
    <row r="34" spans="1:50">
      <c r="A34" s="23" t="s">
        <v>10</v>
      </c>
      <c r="B34" s="22"/>
      <c r="C34" s="25">
        <f>(E37*50/100)/9.5</f>
        <v>497130.21052631579</v>
      </c>
      <c r="D34" s="25">
        <f>(E$37*50/100)/Indbyggere!F$12*Indbyggere!F9</f>
        <v>457529.65144386597</v>
      </c>
      <c r="E34" s="25">
        <f t="shared" si="19"/>
        <v>954659.86197018181</v>
      </c>
      <c r="F34" s="25">
        <f>(H37*50/100)/9.5</f>
        <v>497130.21052631579</v>
      </c>
      <c r="G34" s="25">
        <f>(H$37*50/100)/Indbyggere!G$12*Indbyggere!G9</f>
        <v>455141.1977825088</v>
      </c>
      <c r="H34" s="25">
        <f t="shared" si="20"/>
        <v>952271.40830882452</v>
      </c>
      <c r="I34" s="25">
        <f>(K37*50/100)/9.5</f>
        <v>497130.21052631579</v>
      </c>
      <c r="J34" s="25">
        <f>(K37*50/100)/Indbyggere!H12*Indbyggere!H9</f>
        <v>444068.91379531461</v>
      </c>
      <c r="K34" s="25">
        <f t="shared" si="21"/>
        <v>941199.12432163046</v>
      </c>
      <c r="L34" s="25">
        <f>(N37*50/100)/9.5</f>
        <v>497130.21052631579</v>
      </c>
      <c r="M34" s="25">
        <f>(N$37*50/100)/Indbyggere!I$12*Indbyggere!I9</f>
        <v>449643.65749005042</v>
      </c>
      <c r="N34" s="25">
        <f t="shared" si="22"/>
        <v>946773.86801636615</v>
      </c>
      <c r="O34" s="132">
        <f t="shared" si="26"/>
        <v>2.1880605812104421</v>
      </c>
      <c r="P34" s="133">
        <f t="shared" si="27"/>
        <v>986610.25861988077</v>
      </c>
      <c r="Q34" s="25">
        <v>100000</v>
      </c>
      <c r="R34" s="25">
        <v>100000</v>
      </c>
      <c r="S34" s="25">
        <v>100000</v>
      </c>
      <c r="T34" s="22"/>
      <c r="U34" s="25"/>
      <c r="V34" s="25"/>
      <c r="W34" s="25"/>
      <c r="X34" s="25"/>
      <c r="Y34" s="22"/>
      <c r="AA34" s="22"/>
      <c r="AB34" s="25">
        <v>100000</v>
      </c>
      <c r="AC34" s="132">
        <f t="shared" si="23"/>
        <v>0.23110698923226075</v>
      </c>
      <c r="AD34" s="133">
        <f t="shared" si="28"/>
        <v>104207.59295849364</v>
      </c>
      <c r="AE34" s="139"/>
      <c r="AF34" s="25">
        <f>E19+S19+Q34+E34+U34+Y34</f>
        <v>4143819.4100136394</v>
      </c>
      <c r="AG34" s="25">
        <f>H19+V19+R34+H34+Y34</f>
        <v>4090457.4073883365</v>
      </c>
      <c r="AH34" s="25">
        <f>K19+Y19+AB34+K34+X34+Y34</f>
        <v>4078237.6975988531</v>
      </c>
      <c r="AI34" s="25">
        <f t="shared" si="24"/>
        <v>4101568.57481643</v>
      </c>
      <c r="AJ34" s="133">
        <f t="shared" si="25"/>
        <v>4274145.8853581948</v>
      </c>
      <c r="AK34" s="25"/>
      <c r="AL34" s="22"/>
      <c r="AM34" s="111">
        <v>3866780</v>
      </c>
      <c r="AN34" s="25">
        <f t="shared" si="29"/>
        <v>-277039.41001363937</v>
      </c>
      <c r="AO34" s="25">
        <f t="shared" si="30"/>
        <v>-6.7544746591500919</v>
      </c>
      <c r="AP34" s="25">
        <f t="shared" si="31"/>
        <v>-223677.40738833649</v>
      </c>
      <c r="AQ34" s="25">
        <f t="shared" si="32"/>
        <v>-5.7845909875487225</v>
      </c>
      <c r="AR34" s="25">
        <f t="shared" si="33"/>
        <v>-211457.69759885315</v>
      </c>
      <c r="AS34" s="25">
        <f t="shared" si="34"/>
        <v>-5.4685732728226881</v>
      </c>
      <c r="AT34" s="25">
        <f t="shared" si="35"/>
        <v>-234788.57481642999</v>
      </c>
      <c r="AU34" s="25">
        <f t="shared" si="36"/>
        <v>-6.0719403435527752</v>
      </c>
    </row>
    <row r="35" spans="1:50">
      <c r="A35" s="23" t="s">
        <v>11</v>
      </c>
      <c r="B35" s="22"/>
      <c r="C35" s="25">
        <f>((E37*50/100)/9.5)*1.5</f>
        <v>745695.31578947371</v>
      </c>
      <c r="D35" s="25">
        <f>(E$37*50/100)/Indbyggere!F$12*Indbyggere!F10</f>
        <v>895110.89157936559</v>
      </c>
      <c r="E35" s="25">
        <f t="shared" si="19"/>
        <v>1640806.2073688393</v>
      </c>
      <c r="F35" s="25">
        <f>((H37*50/100)/9.5)*1.5</f>
        <v>745695.31578947371</v>
      </c>
      <c r="G35" s="25">
        <f>(H$37*50/100)/Indbyggere!G$12*Indbyggere!G10</f>
        <v>883851.95199300186</v>
      </c>
      <c r="H35" s="25">
        <f t="shared" si="20"/>
        <v>1629547.2677824756</v>
      </c>
      <c r="I35" s="25">
        <f>((K37*50/100)/9.5)*1.5</f>
        <v>745695.31578947371</v>
      </c>
      <c r="J35" s="25">
        <f>(K37*50/100)/Indbyggere!H12*Indbyggere!H10</f>
        <v>870320.55928308819</v>
      </c>
      <c r="K35" s="25">
        <f t="shared" si="21"/>
        <v>1616015.8750725619</v>
      </c>
      <c r="L35" s="25">
        <f>((N37*50/100)/9.5)*1.5</f>
        <v>745695.31578947371</v>
      </c>
      <c r="M35" s="25">
        <f>(N$37*50/100)/Indbyggere!I$12*Indbyggere!I10</f>
        <v>877133.43061820103</v>
      </c>
      <c r="N35" s="25">
        <f t="shared" si="22"/>
        <v>1622828.7464076746</v>
      </c>
      <c r="O35" s="132">
        <f t="shared" si="26"/>
        <v>3.7504706562184165</v>
      </c>
      <c r="P35" s="133">
        <f t="shared" si="27"/>
        <v>1691110.7744699344</v>
      </c>
      <c r="Q35" s="25">
        <v>100000</v>
      </c>
      <c r="R35" s="25">
        <v>100000</v>
      </c>
      <c r="S35" s="25">
        <v>100000</v>
      </c>
      <c r="T35" s="22"/>
      <c r="U35" s="25"/>
      <c r="V35" s="25"/>
      <c r="W35" s="25"/>
      <c r="X35" s="25"/>
      <c r="Y35" s="22"/>
      <c r="AA35" s="22"/>
      <c r="AB35" s="25">
        <v>100000</v>
      </c>
      <c r="AC35" s="132">
        <f t="shared" si="23"/>
        <v>0.23110698923226075</v>
      </c>
      <c r="AD35" s="133">
        <f t="shared" si="28"/>
        <v>104207.59295849364</v>
      </c>
      <c r="AE35" s="139"/>
      <c r="AF35" s="25">
        <f>E20+S20+Q35+E35+U35</f>
        <v>6005903.8237667214</v>
      </c>
      <c r="AG35" s="25">
        <f>H20+V20+R35+H35+V35</f>
        <v>5731240.2736227093</v>
      </c>
      <c r="AH35" s="25">
        <f>K20+Y20+AB35+K35+X35</f>
        <v>6312425.7395759048</v>
      </c>
      <c r="AI35" s="25">
        <f t="shared" si="24"/>
        <v>6010562.2419881606</v>
      </c>
      <c r="AJ35" s="133">
        <f t="shared" si="25"/>
        <v>6263462.2356479326</v>
      </c>
      <c r="AK35" s="25"/>
      <c r="AL35" s="22"/>
      <c r="AM35" s="111">
        <v>6901904</v>
      </c>
      <c r="AN35" s="25">
        <f t="shared" si="29"/>
        <v>896000.17623327859</v>
      </c>
      <c r="AO35" s="25">
        <f t="shared" si="30"/>
        <v>14.907094214482363</v>
      </c>
      <c r="AP35" s="25">
        <f t="shared" si="31"/>
        <v>1170663.7263772907</v>
      </c>
      <c r="AQ35" s="25">
        <f t="shared" si="32"/>
        <v>16.961460582142127</v>
      </c>
      <c r="AR35" s="25">
        <f t="shared" si="33"/>
        <v>589478.26042409521</v>
      </c>
      <c r="AS35" s="25">
        <f t="shared" si="34"/>
        <v>8.5408064270974382</v>
      </c>
      <c r="AT35" s="25">
        <f t="shared" si="35"/>
        <v>891341.75801183935</v>
      </c>
      <c r="AU35" s="25">
        <f t="shared" si="36"/>
        <v>12.91443285811914</v>
      </c>
    </row>
    <row r="36" spans="1:50">
      <c r="A36" s="23" t="s">
        <v>12</v>
      </c>
      <c r="B36" s="22"/>
      <c r="C36" s="25">
        <f>(E37*50/100)/9.5</f>
        <v>497130.21052631579</v>
      </c>
      <c r="D36" s="25">
        <f>(E$37*50/100)/Indbyggere!F$12*Indbyggere!F11</f>
        <v>342332.51386362215</v>
      </c>
      <c r="E36" s="25">
        <f t="shared" si="19"/>
        <v>839462.72438993794</v>
      </c>
      <c r="F36" s="25">
        <f>(H37*50/100)/9.5</f>
        <v>497130.21052631579</v>
      </c>
      <c r="G36" s="25">
        <f>(H$37*50/100)/Indbyggere!G$12*Indbyggere!G11</f>
        <v>349718.07257435552</v>
      </c>
      <c r="H36" s="25">
        <f t="shared" si="20"/>
        <v>846848.28310067137</v>
      </c>
      <c r="I36" s="25">
        <f>(K37*50/100)/9.5</f>
        <v>497130.21052631579</v>
      </c>
      <c r="J36" s="25">
        <f>(K37*50/100)/Indbyggere!H12*Indbyggere!H11</f>
        <v>358414.79391458619</v>
      </c>
      <c r="K36" s="25">
        <f t="shared" si="21"/>
        <v>855545.00444090203</v>
      </c>
      <c r="L36" s="25">
        <f>(N37*50/100)/9.5</f>
        <v>497130.21052631579</v>
      </c>
      <c r="M36" s="25">
        <f>(N$37*50/100)/Indbyggere!I$12*Indbyggere!I11</f>
        <v>354036.1135526665</v>
      </c>
      <c r="N36" s="25">
        <f t="shared" si="22"/>
        <v>851166.32407898223</v>
      </c>
      <c r="O36" s="132">
        <f t="shared" si="26"/>
        <v>1.9671048649378433</v>
      </c>
      <c r="P36" s="133">
        <f t="shared" si="27"/>
        <v>886979.93839599879</v>
      </c>
      <c r="Q36" s="25">
        <v>0</v>
      </c>
      <c r="R36" s="25">
        <v>0</v>
      </c>
      <c r="S36" s="25">
        <v>0</v>
      </c>
      <c r="T36" s="22"/>
      <c r="U36" s="25"/>
      <c r="V36" s="25"/>
      <c r="W36" s="25"/>
      <c r="X36" s="25"/>
      <c r="Y36" s="22"/>
      <c r="AA36" s="22"/>
      <c r="AB36" s="25">
        <v>0</v>
      </c>
      <c r="AC36" s="132">
        <f t="shared" si="23"/>
        <v>0</v>
      </c>
      <c r="AD36" s="133">
        <f t="shared" si="28"/>
        <v>0</v>
      </c>
      <c r="AE36" s="139"/>
      <c r="AF36" s="25">
        <f>E21+S21+Q36+E36+U36</f>
        <v>3194461.8227374721</v>
      </c>
      <c r="AG36" s="25">
        <f>H21+V21+T39+H36</f>
        <v>3498702.6752061071</v>
      </c>
      <c r="AH36" s="25">
        <f>K21+Y21+AB36+K36+X36</f>
        <v>2707645.7168998607</v>
      </c>
      <c r="AI36" s="25">
        <f t="shared" si="24"/>
        <v>3137484.3917162917</v>
      </c>
      <c r="AJ36" s="133">
        <f t="shared" si="25"/>
        <v>3269496.9640559838</v>
      </c>
      <c r="AK36" s="25"/>
      <c r="AL36" s="22"/>
      <c r="AM36" s="111">
        <v>3347822</v>
      </c>
      <c r="AN36" s="25">
        <f t="shared" si="29"/>
        <v>153360.17726252787</v>
      </c>
      <c r="AO36" s="25">
        <f t="shared" si="30"/>
        <v>4.8879980938689407</v>
      </c>
      <c r="AP36" s="25">
        <f t="shared" si="31"/>
        <v>-150880.67520610709</v>
      </c>
      <c r="AQ36" s="25">
        <f t="shared" si="32"/>
        <v>-4.5068308651447744</v>
      </c>
      <c r="AR36" s="25">
        <f t="shared" si="33"/>
        <v>640176.28310013935</v>
      </c>
      <c r="AS36" s="25">
        <f t="shared" si="34"/>
        <v>19.122172059928495</v>
      </c>
      <c r="AT36" s="25">
        <f t="shared" si="35"/>
        <v>210337.60828370834</v>
      </c>
      <c r="AU36" s="25">
        <f t="shared" si="36"/>
        <v>6.2828193459421779</v>
      </c>
    </row>
    <row r="37" spans="1:50">
      <c r="A37" s="23" t="s">
        <v>3</v>
      </c>
      <c r="B37" s="22"/>
      <c r="C37" s="26">
        <f>SUM(C28:C36)</f>
        <v>4722737</v>
      </c>
      <c r="D37" s="26">
        <f>SUM(D28:D36)</f>
        <v>4722737</v>
      </c>
      <c r="E37" s="26">
        <v>9445474</v>
      </c>
      <c r="F37" s="26">
        <f>SUM(F28:F36)</f>
        <v>4722737</v>
      </c>
      <c r="G37" s="26">
        <f>SUM(G28:G36)</f>
        <v>4722737</v>
      </c>
      <c r="H37" s="26">
        <v>9445474</v>
      </c>
      <c r="I37" s="26">
        <f>SUM(I28:I36)</f>
        <v>4722737</v>
      </c>
      <c r="J37" s="26">
        <f>SUM(J28:J36)</f>
        <v>4722737</v>
      </c>
      <c r="K37" s="26">
        <v>9445474</v>
      </c>
      <c r="L37" s="26">
        <f>SUM(L28:L36)</f>
        <v>4722737</v>
      </c>
      <c r="M37" s="26">
        <f>SUM(M28:M36)</f>
        <v>4722293.4920063149</v>
      </c>
      <c r="N37" s="26">
        <v>9445474</v>
      </c>
      <c r="O37" s="134">
        <f>SUM(O28:O36)</f>
        <v>21.82812560214478</v>
      </c>
      <c r="P37" s="134">
        <f t="shared" si="27"/>
        <v>9842438.9299155511</v>
      </c>
      <c r="Q37" s="26">
        <f t="shared" ref="Q37:S37" si="37">SUM(Q28:Q36)</f>
        <v>800000</v>
      </c>
      <c r="R37" s="26">
        <f t="shared" si="37"/>
        <v>800000</v>
      </c>
      <c r="S37" s="26">
        <f t="shared" si="37"/>
        <v>800000</v>
      </c>
      <c r="T37" s="22"/>
      <c r="U37" s="101"/>
      <c r="V37" s="101"/>
      <c r="W37" s="101"/>
      <c r="X37" s="101"/>
      <c r="Y37" s="22"/>
      <c r="AA37" s="22"/>
      <c r="AB37" s="26">
        <f>SUM(AB28:AB36)</f>
        <v>800000</v>
      </c>
      <c r="AC37" s="134">
        <f>SUM(AC28:AC36)</f>
        <v>1.8488559138580862</v>
      </c>
      <c r="AD37" s="134">
        <f t="shared" si="28"/>
        <v>833660.74366794934</v>
      </c>
      <c r="AE37" s="140"/>
      <c r="AF37" s="26">
        <f>SUM(AF28:AF36)</f>
        <v>43270446</v>
      </c>
      <c r="AG37" s="26">
        <f>SUM(AG28:AG36)</f>
        <v>43270445.999999993</v>
      </c>
      <c r="AH37" s="26">
        <f>SUM(AH28:AH36)</f>
        <v>43270446</v>
      </c>
      <c r="AI37" s="26">
        <f>SUM(AI28:AI36)</f>
        <v>43270002.492006317</v>
      </c>
      <c r="AJ37" s="134">
        <f t="shared" si="25"/>
        <v>45090628.07</v>
      </c>
      <c r="AK37" s="26"/>
      <c r="AL37" s="22"/>
      <c r="AM37" s="112">
        <v>42839896</v>
      </c>
      <c r="AN37" s="26">
        <f>SUM(AN28:AN36)</f>
        <v>-430550.0000000014</v>
      </c>
      <c r="AO37" s="26"/>
      <c r="AP37" s="26">
        <f>SUM(AP28:AP36)</f>
        <v>-430549.9999999986</v>
      </c>
      <c r="AQ37" s="26"/>
      <c r="AR37" s="26">
        <f>SUM(AR28:AR36)</f>
        <v>-430550.00000000047</v>
      </c>
      <c r="AS37" s="26"/>
      <c r="AT37" s="26">
        <f>SUM(AT28:AT36)</f>
        <v>-430106.49200631352</v>
      </c>
      <c r="AU37" s="26"/>
    </row>
    <row r="38" spans="1:50">
      <c r="A38" s="5"/>
      <c r="C38" s="33"/>
      <c r="D38" s="33"/>
      <c r="E38" s="34">
        <f>E28+E29+E30+E31+E32+E33+E34+E35+E36</f>
        <v>9445474</v>
      </c>
      <c r="F38" s="19"/>
      <c r="G38" s="19"/>
      <c r="H38" s="20">
        <f>H28+H29+H30+H31+H32+H33+H34+H35+H36</f>
        <v>9445474</v>
      </c>
      <c r="I38" s="21"/>
      <c r="J38" s="21"/>
      <c r="K38" s="28">
        <f>K28+K29+K30+K31+K32+K33+K34+K35+K36</f>
        <v>9445473.9999999981</v>
      </c>
      <c r="L38" s="22"/>
      <c r="M38" s="22"/>
      <c r="N38" s="102">
        <f>N28+N29+N30+N31+N32+N33+N34+N35+N36</f>
        <v>9445030.4920063149</v>
      </c>
      <c r="O38" s="102"/>
      <c r="T38" s="29"/>
      <c r="U38" s="22"/>
      <c r="V38" s="25"/>
      <c r="W38" s="22"/>
      <c r="X38" s="102"/>
      <c r="Y38" s="22"/>
      <c r="AT38" s="5" t="s">
        <v>74</v>
      </c>
    </row>
    <row r="39" spans="1:50" ht="17.25" customHeight="1">
      <c r="T39" s="30"/>
      <c r="U39" s="22"/>
      <c r="V39" s="25"/>
      <c r="W39" s="22"/>
      <c r="X39" s="22"/>
      <c r="Y39" s="103"/>
      <c r="AT39" s="32" t="s">
        <v>75</v>
      </c>
    </row>
    <row r="40" spans="1:50" ht="51" customHeight="1">
      <c r="AI40" s="145" t="s">
        <v>149</v>
      </c>
      <c r="AJ40" s="145"/>
      <c r="AK40" s="145"/>
      <c r="AL40" s="145"/>
      <c r="AM40" s="145"/>
      <c r="AN40" s="145"/>
      <c r="AO40" s="145"/>
      <c r="AP40" s="145"/>
      <c r="AQ40" s="145"/>
      <c r="AR40" s="145"/>
      <c r="AS40" s="145"/>
      <c r="AT40" s="145"/>
      <c r="AU40" s="145"/>
      <c r="AV40" s="31"/>
      <c r="AW40" s="31"/>
      <c r="AX40" s="31"/>
    </row>
    <row r="41" spans="1:50">
      <c r="W41" s="2"/>
      <c r="X41" s="1"/>
      <c r="Y41" s="1"/>
      <c r="Z41" s="1"/>
    </row>
    <row r="42" spans="1:50">
      <c r="T42" s="8"/>
      <c r="W42" s="2"/>
      <c r="X42" s="1"/>
      <c r="Y42" s="1"/>
      <c r="Z42" s="1"/>
    </row>
    <row r="43" spans="1:50">
      <c r="W43" s="2"/>
      <c r="X43" s="1"/>
      <c r="Y43" s="1"/>
      <c r="Z43" s="1"/>
    </row>
    <row r="44" spans="1:50">
      <c r="W44" s="2"/>
      <c r="X44" s="1"/>
      <c r="Y44" s="1"/>
      <c r="Z44" s="1"/>
    </row>
    <row r="45" spans="1:50">
      <c r="W45" s="2"/>
      <c r="X45" s="1"/>
      <c r="Y45" s="1"/>
      <c r="Z45" s="1"/>
    </row>
    <row r="46" spans="1:50">
      <c r="W46" s="2"/>
      <c r="X46" s="1"/>
      <c r="Y46" s="1"/>
      <c r="Z46" s="1"/>
    </row>
    <row r="47" spans="1:50">
      <c r="W47" s="2"/>
      <c r="X47" s="1"/>
      <c r="Y47" s="1"/>
      <c r="Z47" s="1"/>
    </row>
    <row r="48" spans="1:50">
      <c r="W48" s="2"/>
      <c r="X48" s="1"/>
      <c r="Y48" s="1"/>
      <c r="Z48" s="1"/>
    </row>
    <row r="49" spans="23:26">
      <c r="W49" s="2"/>
      <c r="X49" s="1"/>
      <c r="Y49" s="1"/>
      <c r="Z49" s="1"/>
    </row>
  </sheetData>
  <mergeCells count="3">
    <mergeCell ref="AI40:AU40"/>
    <mergeCell ref="A12:B12"/>
    <mergeCell ref="AL13:AT18"/>
  </mergeCells>
  <pageMargins left="0.7" right="0.7" top="0.75" bottom="0.75" header="0.3" footer="0.3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workbookViewId="0">
      <selection activeCell="A4" sqref="A4"/>
    </sheetView>
  </sheetViews>
  <sheetFormatPr defaultRowHeight="15"/>
  <cols>
    <col min="1" max="1" width="21" customWidth="1"/>
    <col min="2" max="2" width="15.5703125" bestFit="1" customWidth="1"/>
    <col min="3" max="3" width="18.140625" bestFit="1" customWidth="1"/>
    <col min="4" max="4" width="15.5703125" bestFit="1" customWidth="1"/>
    <col min="5" max="5" width="16" bestFit="1" customWidth="1"/>
  </cols>
  <sheetData>
    <row r="1" spans="1:10">
      <c r="A1" s="2" t="s">
        <v>122</v>
      </c>
    </row>
    <row r="2" spans="1:10">
      <c r="A2" t="s">
        <v>123</v>
      </c>
    </row>
    <row r="4" spans="1:10">
      <c r="B4" s="66"/>
      <c r="F4" t="s">
        <v>126</v>
      </c>
    </row>
    <row r="5" spans="1:10">
      <c r="A5" t="s">
        <v>124</v>
      </c>
      <c r="B5" s="2">
        <v>75</v>
      </c>
      <c r="C5" s="2">
        <v>20</v>
      </c>
      <c r="D5" s="2">
        <v>0</v>
      </c>
      <c r="E5" s="2">
        <v>5</v>
      </c>
      <c r="F5">
        <f>SUM(B5:E5)</f>
        <v>100</v>
      </c>
      <c r="G5" t="s">
        <v>125</v>
      </c>
    </row>
    <row r="6" spans="1:10">
      <c r="B6" s="2"/>
      <c r="C6" s="2"/>
      <c r="D6" s="2"/>
      <c r="E6" s="2"/>
    </row>
    <row r="7" spans="1:10">
      <c r="B7" s="64" t="s">
        <v>90</v>
      </c>
      <c r="C7" s="64" t="s">
        <v>91</v>
      </c>
      <c r="D7" s="64" t="s">
        <v>92</v>
      </c>
      <c r="E7" s="64" t="s">
        <v>93</v>
      </c>
      <c r="F7" s="64"/>
      <c r="I7" s="64"/>
      <c r="J7" s="64"/>
    </row>
    <row r="8" spans="1:10">
      <c r="A8" s="2" t="s">
        <v>4</v>
      </c>
      <c r="B8">
        <f>$B$5*'ny m2 rådata'!$B$29</f>
        <v>66750</v>
      </c>
      <c r="C8">
        <f>$C$5*'ny m2 rådata'!$E$29</f>
        <v>1200</v>
      </c>
      <c r="D8">
        <f>$D$5*'ny m2 rådata'!$H$29</f>
        <v>0</v>
      </c>
      <c r="E8">
        <f>$E$5*'ny m2 rådata'!$K$29</f>
        <v>3800</v>
      </c>
      <c r="F8">
        <f>SUM(B8:E8)</f>
        <v>71750</v>
      </c>
    </row>
    <row r="9" spans="1:10">
      <c r="A9" s="2" t="s">
        <v>5</v>
      </c>
      <c r="B9">
        <f>$B$5*'ny m2 rådata'!$B$41</f>
        <v>74625</v>
      </c>
      <c r="C9">
        <f>$C$5*'ny m2 rådata'!$E$41</f>
        <v>400</v>
      </c>
      <c r="D9">
        <f>$D$5*'ny m2 rådata'!$H$41</f>
        <v>0</v>
      </c>
      <c r="E9">
        <f>$E$5*'ny m2 rådata'!$K$41</f>
        <v>10125</v>
      </c>
      <c r="F9">
        <f t="shared" ref="F9:F16" si="0">SUM(B9:E9)</f>
        <v>85150</v>
      </c>
    </row>
    <row r="10" spans="1:10">
      <c r="A10" s="2" t="s">
        <v>6</v>
      </c>
      <c r="B10">
        <f>$B$5*'ny m2 rådata'!$B$63</f>
        <v>87000</v>
      </c>
      <c r="C10">
        <f>$C$5*'ny m2 rådata'!$E$63</f>
        <v>1800</v>
      </c>
      <c r="D10">
        <f>$D$5*'ny m2 rådata'!$H$63</f>
        <v>0</v>
      </c>
      <c r="E10">
        <f>$E$5*'ny m2 rådata'!$K$63</f>
        <v>8100</v>
      </c>
      <c r="F10">
        <f t="shared" si="0"/>
        <v>96900</v>
      </c>
    </row>
    <row r="11" spans="1:10">
      <c r="A11" s="2" t="s">
        <v>7</v>
      </c>
      <c r="B11">
        <f>$B$5*'ny m2 rådata'!$B$75</f>
        <v>64125</v>
      </c>
      <c r="C11">
        <f>$C$5*'ny m2 rådata'!$E$75</f>
        <v>1000</v>
      </c>
      <c r="D11">
        <f>$D$5*'ny m2 rådata'!$H$75</f>
        <v>0</v>
      </c>
      <c r="E11">
        <f>$E$5*'ny m2 rådata'!$K$75</f>
        <v>8900</v>
      </c>
      <c r="F11">
        <f t="shared" si="0"/>
        <v>74025</v>
      </c>
    </row>
    <row r="12" spans="1:10">
      <c r="A12" s="2" t="s">
        <v>8</v>
      </c>
      <c r="B12">
        <f>$B$5*'ny m2 rådata'!$B$87</f>
        <v>196875</v>
      </c>
      <c r="C12">
        <f>$C$5*'ny m2 rådata'!$E$87</f>
        <v>23200</v>
      </c>
      <c r="D12">
        <f>$D$5*'ny m2 rådata'!$H$87</f>
        <v>0</v>
      </c>
      <c r="E12">
        <f>$E$5*'ny m2 rådata'!$K$87</f>
        <v>1650</v>
      </c>
      <c r="F12">
        <f t="shared" si="0"/>
        <v>221725</v>
      </c>
    </row>
    <row r="13" spans="1:10">
      <c r="A13" s="2" t="s">
        <v>9</v>
      </c>
      <c r="B13">
        <f>$B$5*'ny m2 rådata'!$B$99</f>
        <v>69375</v>
      </c>
      <c r="C13">
        <f>$C$5*'ny m2 rådata'!$E$99</f>
        <v>1100</v>
      </c>
      <c r="D13">
        <f>$D$5*'ny m2 rådata'!$H$99</f>
        <v>0</v>
      </c>
      <c r="E13">
        <f>$E$5*'ny m2 rådata'!$K$99</f>
        <v>4300</v>
      </c>
      <c r="F13">
        <f t="shared" si="0"/>
        <v>74775</v>
      </c>
    </row>
    <row r="14" spans="1:10">
      <c r="A14" s="2" t="s">
        <v>10</v>
      </c>
      <c r="B14">
        <f>$B$5*'ny m2 rådata'!$B$111</f>
        <v>46125</v>
      </c>
      <c r="C14">
        <f>$C$5*'ny m2 rådata'!$E$111</f>
        <v>300</v>
      </c>
      <c r="D14">
        <f>$D$5*'ny m2 rådata'!$H$111</f>
        <v>0</v>
      </c>
      <c r="E14">
        <f>$E$5*'ny m2 rådata'!$K$111</f>
        <v>10500</v>
      </c>
      <c r="F14">
        <f t="shared" si="0"/>
        <v>56925</v>
      </c>
    </row>
    <row r="15" spans="1:10">
      <c r="A15" s="23" t="s">
        <v>11</v>
      </c>
      <c r="B15">
        <f>$B$5*('ny m2 rådata'!$B$123+'ny m2 rådata'!$B$135)</f>
        <v>138000</v>
      </c>
      <c r="C15">
        <f>$C$5*('ny m2 rådata'!$E$123+'ny m2 rådata'!$E$135)</f>
        <v>5300</v>
      </c>
      <c r="D15">
        <f>$D$5*('ny m2 rådata'!$H$123+'ny m2 rådata'!$H$135)</f>
        <v>0</v>
      </c>
      <c r="E15">
        <f>$E$5*('ny m2 rådata'!$K$123+'ny m2 rådata'!$K$135)</f>
        <v>12025</v>
      </c>
      <c r="F15">
        <f t="shared" si="0"/>
        <v>155325</v>
      </c>
    </row>
    <row r="16" spans="1:10">
      <c r="A16" s="2" t="s">
        <v>12</v>
      </c>
      <c r="B16">
        <f>$B$5*'ny m2 rådata'!$B$147</f>
        <v>45900</v>
      </c>
      <c r="C16">
        <f>$C$5*'ny m2 rådata'!$E$147</f>
        <v>800</v>
      </c>
      <c r="D16">
        <f>$D$5*'ny m2 rådata'!$H$147</f>
        <v>0</v>
      </c>
      <c r="E16">
        <f>$E$5*'ny m2 rådata'!$K$147</f>
        <v>3900</v>
      </c>
      <c r="F16">
        <f t="shared" si="0"/>
        <v>50600</v>
      </c>
    </row>
    <row r="17" spans="1:9">
      <c r="F17">
        <f>SUM(F8:F16)</f>
        <v>887175</v>
      </c>
      <c r="G17" t="s">
        <v>127</v>
      </c>
    </row>
    <row r="19" spans="1:9">
      <c r="A19" s="66"/>
      <c r="B19" s="66"/>
      <c r="C19" s="66"/>
      <c r="D19" s="66"/>
      <c r="E19" s="66"/>
      <c r="F19" s="66"/>
      <c r="G19" s="66"/>
      <c r="H19" s="66"/>
      <c r="I19" s="66"/>
    </row>
    <row r="20" spans="1:9">
      <c r="A20" s="66"/>
      <c r="B20" s="66"/>
      <c r="C20" s="66"/>
      <c r="D20" s="66"/>
      <c r="E20" s="66"/>
      <c r="F20" s="66"/>
      <c r="G20" s="66"/>
      <c r="H20" s="66"/>
      <c r="I20" s="66"/>
    </row>
    <row r="21" spans="1:9">
      <c r="A21" s="66"/>
      <c r="B21" s="23"/>
      <c r="C21" s="23"/>
      <c r="D21" s="23"/>
      <c r="E21" s="23"/>
      <c r="F21" s="66"/>
      <c r="G21" s="66"/>
      <c r="H21" s="66"/>
      <c r="I21" s="66"/>
    </row>
    <row r="22" spans="1:9">
      <c r="A22" s="66"/>
      <c r="B22" s="23"/>
      <c r="C22" s="23"/>
      <c r="D22" s="23"/>
      <c r="E22" s="23"/>
      <c r="F22" s="66"/>
      <c r="G22" s="66"/>
      <c r="H22" s="66"/>
      <c r="I22" s="66"/>
    </row>
    <row r="23" spans="1:9">
      <c r="A23" s="66"/>
      <c r="B23" s="97"/>
      <c r="C23" s="97"/>
      <c r="D23" s="97"/>
      <c r="E23" s="97"/>
      <c r="F23" s="97"/>
      <c r="G23" s="66"/>
      <c r="H23" s="66"/>
      <c r="I23" s="66"/>
    </row>
    <row r="24" spans="1:9">
      <c r="A24" s="23"/>
      <c r="B24" s="66"/>
      <c r="C24" s="66"/>
      <c r="D24" s="66"/>
      <c r="E24" s="66"/>
      <c r="F24" s="66"/>
      <c r="G24" s="66"/>
      <c r="H24" s="66"/>
      <c r="I24" s="66"/>
    </row>
    <row r="25" spans="1:9">
      <c r="A25" s="23"/>
      <c r="B25" s="66"/>
      <c r="C25" s="66"/>
      <c r="D25" s="66"/>
      <c r="E25" s="66"/>
      <c r="F25" s="66"/>
      <c r="G25" s="66"/>
      <c r="H25" s="66"/>
      <c r="I25" s="66"/>
    </row>
    <row r="26" spans="1:9">
      <c r="A26" s="23"/>
      <c r="B26" s="66"/>
      <c r="C26" s="66"/>
      <c r="D26" s="66"/>
      <c r="E26" s="66"/>
      <c r="F26" s="66"/>
      <c r="G26" s="66"/>
      <c r="H26" s="66"/>
      <c r="I26" s="66"/>
    </row>
    <row r="27" spans="1:9">
      <c r="A27" s="23"/>
      <c r="B27" s="66"/>
      <c r="C27" s="66"/>
      <c r="D27" s="66"/>
      <c r="E27" s="66"/>
      <c r="F27" s="66"/>
      <c r="G27" s="66"/>
      <c r="H27" s="66"/>
      <c r="I27" s="66"/>
    </row>
    <row r="28" spans="1:9">
      <c r="A28" s="23"/>
      <c r="B28" s="66"/>
      <c r="C28" s="66"/>
      <c r="D28" s="66"/>
      <c r="E28" s="66"/>
      <c r="F28" s="66"/>
      <c r="G28" s="66"/>
      <c r="H28" s="66"/>
      <c r="I28" s="66"/>
    </row>
    <row r="29" spans="1:9">
      <c r="A29" s="23"/>
      <c r="B29" s="66"/>
      <c r="C29" s="66"/>
      <c r="D29" s="66"/>
      <c r="E29" s="66"/>
      <c r="F29" s="66"/>
      <c r="G29" s="66"/>
      <c r="H29" s="66"/>
      <c r="I29" s="66"/>
    </row>
    <row r="30" spans="1:9">
      <c r="A30" s="23"/>
      <c r="B30" s="66"/>
      <c r="C30" s="66"/>
      <c r="D30" s="66"/>
      <c r="E30" s="66"/>
      <c r="F30" s="66"/>
      <c r="G30" s="66"/>
      <c r="H30" s="66"/>
      <c r="I30" s="66"/>
    </row>
    <row r="31" spans="1:9">
      <c r="A31" s="23"/>
      <c r="B31" s="66"/>
      <c r="C31" s="66"/>
      <c r="D31" s="66"/>
      <c r="E31" s="66"/>
      <c r="F31" s="66"/>
      <c r="G31" s="66"/>
      <c r="H31" s="66"/>
      <c r="I31" s="66"/>
    </row>
    <row r="32" spans="1:9">
      <c r="A32" s="23"/>
      <c r="B32" s="66"/>
      <c r="C32" s="66"/>
      <c r="D32" s="66"/>
      <c r="E32" s="66"/>
      <c r="F32" s="66"/>
      <c r="G32" s="66"/>
      <c r="H32" s="66"/>
      <c r="I32" s="66"/>
    </row>
    <row r="33" spans="1:9">
      <c r="A33" s="66"/>
      <c r="B33" s="66"/>
      <c r="C33" s="66"/>
      <c r="D33" s="66"/>
      <c r="E33" s="66"/>
      <c r="F33" s="66"/>
      <c r="G33" s="66"/>
      <c r="H33" s="66"/>
      <c r="I33" s="66"/>
    </row>
    <row r="34" spans="1:9">
      <c r="A34" s="66"/>
      <c r="B34" s="66"/>
      <c r="C34" s="66"/>
      <c r="D34" s="66"/>
      <c r="E34" s="66"/>
      <c r="F34" s="66"/>
      <c r="G34" s="66"/>
      <c r="H34" s="66"/>
      <c r="I34" s="66"/>
    </row>
    <row r="35" spans="1:9">
      <c r="A35" s="66"/>
      <c r="B35" s="66"/>
      <c r="C35" s="66"/>
      <c r="D35" s="66"/>
      <c r="E35" s="66"/>
      <c r="F35" s="66"/>
      <c r="G35" s="66"/>
      <c r="H35" s="66"/>
      <c r="I35" s="66"/>
    </row>
    <row r="36" spans="1:9">
      <c r="A36" s="66"/>
      <c r="B36" s="23"/>
      <c r="C36" s="23"/>
      <c r="D36" s="23"/>
      <c r="E36" s="23"/>
      <c r="F36" s="66"/>
      <c r="G36" s="66"/>
      <c r="H36" s="66"/>
      <c r="I36" s="66"/>
    </row>
    <row r="37" spans="1:9">
      <c r="A37" s="66"/>
      <c r="B37" s="23"/>
      <c r="C37" s="23"/>
      <c r="D37" s="23"/>
      <c r="E37" s="23"/>
      <c r="F37" s="66"/>
      <c r="G37" s="66"/>
      <c r="H37" s="66"/>
      <c r="I37" s="66"/>
    </row>
    <row r="38" spans="1:9">
      <c r="A38" s="66"/>
      <c r="B38" s="97"/>
      <c r="C38" s="97"/>
      <c r="D38" s="97"/>
      <c r="E38" s="97"/>
      <c r="F38" s="97"/>
      <c r="G38" s="66"/>
      <c r="H38" s="66"/>
      <c r="I38" s="66"/>
    </row>
    <row r="39" spans="1:9">
      <c r="A39" s="23"/>
      <c r="B39" s="66"/>
      <c r="C39" s="66"/>
      <c r="D39" s="66"/>
      <c r="E39" s="66"/>
      <c r="F39" s="66"/>
      <c r="G39" s="66"/>
      <c r="H39" s="66"/>
      <c r="I39" s="66"/>
    </row>
    <row r="40" spans="1:9">
      <c r="A40" s="23"/>
      <c r="B40" s="66"/>
      <c r="C40" s="66"/>
      <c r="D40" s="66"/>
      <c r="E40" s="66"/>
      <c r="F40" s="66"/>
      <c r="G40" s="66"/>
      <c r="H40" s="66"/>
      <c r="I40" s="66"/>
    </row>
    <row r="41" spans="1:9">
      <c r="A41" s="23"/>
      <c r="B41" s="66"/>
      <c r="C41" s="66"/>
      <c r="D41" s="66"/>
      <c r="E41" s="66"/>
      <c r="F41" s="66"/>
      <c r="G41" s="66"/>
      <c r="H41" s="66"/>
      <c r="I41" s="66"/>
    </row>
    <row r="42" spans="1:9">
      <c r="A42" s="23"/>
      <c r="B42" s="66"/>
      <c r="C42" s="66"/>
      <c r="D42" s="66"/>
      <c r="E42" s="66"/>
      <c r="F42" s="66"/>
      <c r="G42" s="66"/>
      <c r="H42" s="66"/>
      <c r="I42" s="66"/>
    </row>
    <row r="43" spans="1:9">
      <c r="A43" s="23"/>
      <c r="B43" s="66"/>
      <c r="C43" s="66"/>
      <c r="D43" s="66"/>
      <c r="E43" s="66"/>
      <c r="F43" s="66"/>
      <c r="G43" s="66"/>
      <c r="H43" s="66"/>
      <c r="I43" s="66"/>
    </row>
    <row r="44" spans="1:9">
      <c r="A44" s="23"/>
      <c r="B44" s="66"/>
      <c r="C44" s="66"/>
      <c r="D44" s="66"/>
      <c r="E44" s="66"/>
      <c r="F44" s="66"/>
      <c r="G44" s="66"/>
      <c r="H44" s="66"/>
      <c r="I44" s="66"/>
    </row>
    <row r="45" spans="1:9">
      <c r="A45" s="23"/>
      <c r="B45" s="66"/>
      <c r="C45" s="66"/>
      <c r="D45" s="66"/>
      <c r="E45" s="66"/>
      <c r="F45" s="66"/>
      <c r="G45" s="66"/>
      <c r="H45" s="66"/>
      <c r="I45" s="66"/>
    </row>
    <row r="46" spans="1:9">
      <c r="A46" s="23"/>
      <c r="B46" s="66"/>
      <c r="C46" s="66"/>
      <c r="D46" s="66"/>
      <c r="E46" s="66"/>
      <c r="F46" s="66"/>
      <c r="G46" s="66"/>
      <c r="H46" s="66"/>
      <c r="I46" s="66"/>
    </row>
    <row r="47" spans="1:9">
      <c r="A47" s="23"/>
      <c r="B47" s="66"/>
      <c r="C47" s="66"/>
      <c r="D47" s="66"/>
      <c r="E47" s="66"/>
      <c r="F47" s="66"/>
      <c r="G47" s="66"/>
      <c r="H47" s="66"/>
      <c r="I47" s="66"/>
    </row>
    <row r="48" spans="1:9">
      <c r="A48" s="66"/>
      <c r="B48" s="66"/>
      <c r="C48" s="66"/>
      <c r="D48" s="66"/>
      <c r="E48" s="66"/>
      <c r="F48" s="66"/>
      <c r="G48" s="66"/>
      <c r="H48" s="66"/>
      <c r="I48" s="66"/>
    </row>
    <row r="49" spans="1:9">
      <c r="A49" s="66"/>
      <c r="B49" s="66"/>
      <c r="C49" s="66"/>
      <c r="D49" s="66"/>
      <c r="E49" s="66"/>
      <c r="F49" s="66"/>
      <c r="G49" s="66"/>
      <c r="H49" s="66"/>
      <c r="I49" s="66"/>
    </row>
    <row r="50" spans="1:9">
      <c r="A50" s="66"/>
      <c r="B50" s="66"/>
      <c r="C50" s="66"/>
      <c r="D50" s="66"/>
      <c r="E50" s="66"/>
      <c r="F50" s="66"/>
      <c r="G50" s="66"/>
      <c r="H50" s="66"/>
      <c r="I50" s="6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47"/>
  <sheetViews>
    <sheetView workbookViewId="0">
      <selection activeCell="D143" sqref="D143:F143"/>
    </sheetView>
  </sheetViews>
  <sheetFormatPr defaultRowHeight="15"/>
  <cols>
    <col min="1" max="1" width="16.5703125" customWidth="1"/>
    <col min="4" max="4" width="13.28515625" customWidth="1"/>
    <col min="7" max="7" width="17.28515625" bestFit="1" customWidth="1"/>
    <col min="10" max="10" width="15.28515625" customWidth="1"/>
  </cols>
  <sheetData>
    <row r="2" spans="1:12" ht="15.75">
      <c r="A2" s="36" t="s">
        <v>86</v>
      </c>
      <c r="B2" s="36"/>
      <c r="J2" s="37" t="s">
        <v>87</v>
      </c>
      <c r="K2" s="37"/>
    </row>
    <row r="3" spans="1:12">
      <c r="A3" s="38" t="s">
        <v>88</v>
      </c>
      <c r="B3" s="38"/>
    </row>
    <row r="5" spans="1:12" ht="32.25">
      <c r="A5" s="156" t="s">
        <v>89</v>
      </c>
      <c r="B5" s="156"/>
      <c r="C5" s="156"/>
      <c r="D5" s="156"/>
      <c r="E5" s="156"/>
      <c r="F5" s="156"/>
      <c r="G5" s="156"/>
      <c r="H5" s="156"/>
      <c r="I5" s="156"/>
      <c r="J5" s="156"/>
      <c r="K5" s="39"/>
    </row>
    <row r="7" spans="1:12">
      <c r="A7" s="40" t="s">
        <v>90</v>
      </c>
      <c r="B7" s="41"/>
      <c r="C7" s="42"/>
      <c r="D7" s="40" t="s">
        <v>91</v>
      </c>
      <c r="E7" s="41"/>
      <c r="F7" s="42"/>
      <c r="G7" s="40" t="s">
        <v>92</v>
      </c>
      <c r="H7" s="41"/>
      <c r="I7" s="42"/>
      <c r="J7" s="40" t="s">
        <v>93</v>
      </c>
      <c r="K7" s="41"/>
      <c r="L7" s="42"/>
    </row>
    <row r="8" spans="1:12" ht="109.5" customHeight="1">
      <c r="A8" s="157" t="s">
        <v>94</v>
      </c>
      <c r="B8" s="158"/>
      <c r="C8" s="159"/>
      <c r="D8" s="157" t="s">
        <v>95</v>
      </c>
      <c r="E8" s="158"/>
      <c r="F8" s="159"/>
      <c r="G8" s="157" t="s">
        <v>96</v>
      </c>
      <c r="H8" s="158"/>
      <c r="I8" s="159"/>
      <c r="J8" s="157" t="s">
        <v>97</v>
      </c>
      <c r="K8" s="158"/>
      <c r="L8" s="159"/>
    </row>
    <row r="9" spans="1:12" ht="15.75">
      <c r="A9" s="43" t="s">
        <v>98</v>
      </c>
      <c r="B9" s="44"/>
      <c r="C9" s="45"/>
      <c r="D9" s="43" t="s">
        <v>98</v>
      </c>
      <c r="E9" s="44"/>
      <c r="F9" s="45"/>
      <c r="G9" s="43" t="s">
        <v>98</v>
      </c>
      <c r="H9" s="44"/>
      <c r="I9" s="45"/>
      <c r="J9" s="43" t="s">
        <v>98</v>
      </c>
      <c r="K9" s="46"/>
      <c r="L9" s="47"/>
    </row>
    <row r="10" spans="1:12">
      <c r="A10" s="48" t="s">
        <v>99</v>
      </c>
      <c r="B10" s="46"/>
      <c r="C10" s="49"/>
      <c r="D10" s="48" t="s">
        <v>100</v>
      </c>
      <c r="E10" s="46"/>
      <c r="F10" s="49"/>
      <c r="G10" s="48" t="s">
        <v>101</v>
      </c>
      <c r="H10" s="46"/>
      <c r="I10" s="49"/>
      <c r="J10" s="48" t="s">
        <v>102</v>
      </c>
      <c r="K10" s="46"/>
      <c r="L10" s="49"/>
    </row>
    <row r="11" spans="1:12">
      <c r="A11" s="48" t="s">
        <v>103</v>
      </c>
      <c r="B11" s="46"/>
      <c r="C11" s="49"/>
      <c r="D11" s="48" t="s">
        <v>104</v>
      </c>
      <c r="E11" s="46"/>
      <c r="F11" s="49"/>
      <c r="G11" s="48" t="s">
        <v>105</v>
      </c>
      <c r="H11" s="46"/>
      <c r="I11" s="49"/>
      <c r="J11" s="48"/>
      <c r="K11" s="46"/>
      <c r="L11" s="49"/>
    </row>
    <row r="12" spans="1:12">
      <c r="A12" s="48" t="s">
        <v>106</v>
      </c>
      <c r="B12" s="46"/>
      <c r="C12" s="49"/>
      <c r="D12" s="48" t="s">
        <v>107</v>
      </c>
      <c r="E12" s="46"/>
      <c r="F12" s="49"/>
      <c r="G12" s="48" t="s">
        <v>108</v>
      </c>
      <c r="H12" s="46"/>
      <c r="I12" s="49"/>
      <c r="J12" s="48"/>
      <c r="K12" s="46"/>
      <c r="L12" s="49"/>
    </row>
    <row r="13" spans="1:12">
      <c r="A13" s="48" t="s">
        <v>109</v>
      </c>
      <c r="B13" s="46"/>
      <c r="C13" s="49"/>
      <c r="D13" s="48" t="s">
        <v>110</v>
      </c>
      <c r="E13" s="46"/>
      <c r="F13" s="49"/>
      <c r="G13" s="48" t="s">
        <v>111</v>
      </c>
      <c r="H13" s="46"/>
      <c r="I13" s="49"/>
      <c r="J13" s="48"/>
      <c r="K13" s="46"/>
      <c r="L13" s="49"/>
    </row>
    <row r="14" spans="1:12">
      <c r="A14" s="48" t="s">
        <v>112</v>
      </c>
      <c r="B14" s="46"/>
      <c r="C14" s="49"/>
      <c r="D14" s="48" t="s">
        <v>113</v>
      </c>
      <c r="E14" s="46"/>
      <c r="F14" s="49"/>
      <c r="H14" s="46"/>
      <c r="I14" s="49"/>
      <c r="J14" s="48"/>
      <c r="K14" s="46"/>
      <c r="L14" s="49"/>
    </row>
    <row r="15" spans="1:12">
      <c r="A15" s="48" t="s">
        <v>114</v>
      </c>
      <c r="B15" s="46"/>
      <c r="C15" s="49"/>
      <c r="D15" s="48"/>
      <c r="E15" s="46"/>
      <c r="F15" s="49"/>
      <c r="G15" s="48" t="s">
        <v>115</v>
      </c>
      <c r="H15" s="46"/>
      <c r="I15" s="49"/>
      <c r="J15" s="48"/>
      <c r="K15" s="46"/>
      <c r="L15" s="49"/>
    </row>
    <row r="16" spans="1:12">
      <c r="A16" s="48" t="s">
        <v>116</v>
      </c>
      <c r="B16" s="46"/>
      <c r="C16" s="49"/>
      <c r="D16" s="48"/>
      <c r="E16" s="46"/>
      <c r="F16" s="49"/>
      <c r="G16" s="48" t="s">
        <v>117</v>
      </c>
      <c r="H16" s="46"/>
      <c r="I16" s="49"/>
      <c r="J16" s="48"/>
      <c r="K16" s="46"/>
      <c r="L16" s="49"/>
    </row>
    <row r="17" spans="1:12">
      <c r="A17" s="50"/>
      <c r="B17" s="51"/>
      <c r="C17" s="52"/>
      <c r="D17" s="53"/>
      <c r="E17" s="51"/>
      <c r="F17" s="52"/>
      <c r="G17" s="53"/>
      <c r="H17" s="51"/>
      <c r="I17" s="52"/>
      <c r="J17" s="53"/>
      <c r="K17" s="51"/>
      <c r="L17" s="52"/>
    </row>
    <row r="19" spans="1:12">
      <c r="A19" s="54" t="s">
        <v>4</v>
      </c>
      <c r="B19" s="55"/>
      <c r="C19" s="56" t="s">
        <v>118</v>
      </c>
      <c r="D19" s="55"/>
      <c r="E19" s="55"/>
      <c r="F19" s="55"/>
      <c r="G19" s="55"/>
      <c r="H19" s="55"/>
      <c r="I19" s="55"/>
      <c r="J19" s="55"/>
      <c r="K19" s="55"/>
      <c r="L19" s="57"/>
    </row>
    <row r="20" spans="1:12">
      <c r="A20" s="58" t="s">
        <v>90</v>
      </c>
      <c r="B20" s="59"/>
      <c r="C20" s="60"/>
      <c r="D20" s="58" t="s">
        <v>91</v>
      </c>
      <c r="E20" s="59"/>
      <c r="F20" s="60"/>
      <c r="G20" s="58" t="s">
        <v>92</v>
      </c>
      <c r="H20" s="59"/>
      <c r="I20" s="60"/>
      <c r="J20" s="58" t="s">
        <v>93</v>
      </c>
      <c r="K20" s="59"/>
      <c r="L20" s="60"/>
    </row>
    <row r="21" spans="1:12">
      <c r="A21" s="48" t="s">
        <v>99</v>
      </c>
      <c r="B21" s="46">
        <v>310</v>
      </c>
      <c r="C21" s="61" t="s">
        <v>24</v>
      </c>
      <c r="D21" s="48" t="s">
        <v>100</v>
      </c>
      <c r="E21" s="46">
        <v>60</v>
      </c>
      <c r="F21" s="61" t="s">
        <v>24</v>
      </c>
      <c r="G21" s="48" t="s">
        <v>101</v>
      </c>
      <c r="H21" s="46">
        <v>10</v>
      </c>
      <c r="I21" s="61" t="s">
        <v>24</v>
      </c>
      <c r="J21" s="48" t="s">
        <v>102</v>
      </c>
      <c r="K21" s="46">
        <v>760</v>
      </c>
      <c r="L21" s="61" t="s">
        <v>24</v>
      </c>
    </row>
    <row r="22" spans="1:12">
      <c r="A22" s="48" t="s">
        <v>103</v>
      </c>
      <c r="B22" s="46">
        <v>30</v>
      </c>
      <c r="C22" s="61" t="s">
        <v>24</v>
      </c>
      <c r="D22" s="48" t="s">
        <v>104</v>
      </c>
      <c r="E22" s="46">
        <v>0</v>
      </c>
      <c r="F22" s="61" t="s">
        <v>24</v>
      </c>
      <c r="G22" s="48" t="s">
        <v>105</v>
      </c>
      <c r="H22" s="46">
        <v>40</v>
      </c>
      <c r="I22" s="61" t="s">
        <v>24</v>
      </c>
      <c r="J22" s="48"/>
      <c r="K22" s="46"/>
      <c r="L22" s="61"/>
    </row>
    <row r="23" spans="1:12">
      <c r="A23" s="48" t="s">
        <v>106</v>
      </c>
      <c r="B23" s="46">
        <v>215</v>
      </c>
      <c r="C23" s="61" t="s">
        <v>24</v>
      </c>
      <c r="D23" s="48" t="s">
        <v>107</v>
      </c>
      <c r="E23" s="46">
        <v>0</v>
      </c>
      <c r="F23" s="61" t="s">
        <v>24</v>
      </c>
      <c r="G23" s="48" t="s">
        <v>108</v>
      </c>
      <c r="H23" s="46">
        <v>0</v>
      </c>
      <c r="I23" s="61" t="s">
        <v>24</v>
      </c>
      <c r="J23" s="48"/>
      <c r="K23" s="46"/>
      <c r="L23" s="61"/>
    </row>
    <row r="24" spans="1:12">
      <c r="A24" s="48" t="s">
        <v>109</v>
      </c>
      <c r="B24" s="46">
        <v>200</v>
      </c>
      <c r="C24" s="61" t="s">
        <v>24</v>
      </c>
      <c r="D24" s="48" t="s">
        <v>110</v>
      </c>
      <c r="E24" s="46">
        <v>0</v>
      </c>
      <c r="F24" s="61" t="s">
        <v>24</v>
      </c>
      <c r="G24" s="48" t="s">
        <v>111</v>
      </c>
      <c r="H24" s="46">
        <v>35</v>
      </c>
      <c r="I24" s="61" t="s">
        <v>24</v>
      </c>
      <c r="J24" s="48"/>
      <c r="K24" s="46"/>
      <c r="L24" s="61"/>
    </row>
    <row r="25" spans="1:12">
      <c r="A25" s="48" t="s">
        <v>112</v>
      </c>
      <c r="B25" s="46">
        <v>80</v>
      </c>
      <c r="C25" s="61" t="s">
        <v>24</v>
      </c>
      <c r="D25" s="48" t="s">
        <v>113</v>
      </c>
      <c r="E25" s="46">
        <v>0</v>
      </c>
      <c r="F25" s="61" t="s">
        <v>24</v>
      </c>
      <c r="J25" s="48"/>
      <c r="K25" s="46"/>
      <c r="L25" s="49"/>
    </row>
    <row r="26" spans="1:12">
      <c r="A26" s="48" t="s">
        <v>114</v>
      </c>
      <c r="B26" s="46">
        <v>15</v>
      </c>
      <c r="C26" s="61" t="s">
        <v>24</v>
      </c>
      <c r="D26" s="48"/>
      <c r="E26" s="46"/>
      <c r="F26" s="49"/>
      <c r="G26" s="48" t="s">
        <v>115</v>
      </c>
      <c r="H26" s="46">
        <v>0</v>
      </c>
      <c r="I26" s="61" t="s">
        <v>24</v>
      </c>
      <c r="J26" s="48"/>
      <c r="K26" s="46"/>
      <c r="L26" s="49"/>
    </row>
    <row r="27" spans="1:12">
      <c r="A27" s="48" t="s">
        <v>116</v>
      </c>
      <c r="B27" s="46">
        <v>40</v>
      </c>
      <c r="C27" s="61" t="s">
        <v>24</v>
      </c>
      <c r="D27" s="48"/>
      <c r="E27" s="46"/>
      <c r="F27" s="49"/>
      <c r="G27" s="48" t="s">
        <v>117</v>
      </c>
      <c r="H27" s="46">
        <v>15</v>
      </c>
      <c r="I27" s="61" t="s">
        <v>24</v>
      </c>
      <c r="J27" s="48"/>
      <c r="K27" s="46"/>
      <c r="L27" s="49"/>
    </row>
    <row r="28" spans="1:12">
      <c r="A28" s="50"/>
      <c r="B28" s="62"/>
      <c r="C28" s="63"/>
      <c r="D28" s="53"/>
      <c r="E28" s="51"/>
      <c r="F28" s="52"/>
      <c r="G28" s="53"/>
      <c r="H28" s="51"/>
      <c r="I28" s="52"/>
      <c r="J28" s="53"/>
      <c r="K28" s="51"/>
      <c r="L28" s="52"/>
    </row>
    <row r="29" spans="1:12">
      <c r="A29" s="50" t="s">
        <v>119</v>
      </c>
      <c r="B29" s="62">
        <f>SUM(B21:B28)</f>
        <v>890</v>
      </c>
      <c r="C29" s="67"/>
      <c r="D29" s="50" t="s">
        <v>119</v>
      </c>
      <c r="E29" s="62">
        <f>SUM(E21:E28)</f>
        <v>60</v>
      </c>
      <c r="F29" s="67"/>
      <c r="G29" s="50" t="s">
        <v>119</v>
      </c>
      <c r="H29" s="62">
        <f>SUM(H21:H28)</f>
        <v>100</v>
      </c>
      <c r="I29" s="67"/>
      <c r="J29" s="50" t="s">
        <v>119</v>
      </c>
      <c r="K29" s="62">
        <f>SUM(K21:K28)</f>
        <v>760</v>
      </c>
      <c r="L29" s="63" t="s">
        <v>24</v>
      </c>
    </row>
    <row r="31" spans="1:12">
      <c r="A31" s="54" t="s">
        <v>5</v>
      </c>
      <c r="B31" s="55"/>
      <c r="C31" s="56" t="s">
        <v>118</v>
      </c>
      <c r="D31" s="55"/>
      <c r="E31" s="55"/>
      <c r="F31" s="55"/>
      <c r="G31" s="55"/>
      <c r="H31" s="55"/>
      <c r="I31" s="55"/>
      <c r="J31" s="55"/>
      <c r="K31" s="55"/>
      <c r="L31" s="57"/>
    </row>
    <row r="32" spans="1:12">
      <c r="A32" s="58" t="s">
        <v>90</v>
      </c>
      <c r="B32" s="59"/>
      <c r="C32" s="60"/>
      <c r="D32" s="58" t="s">
        <v>91</v>
      </c>
      <c r="E32" s="59"/>
      <c r="F32" s="60"/>
      <c r="G32" s="58" t="s">
        <v>92</v>
      </c>
      <c r="H32" s="59"/>
      <c r="I32" s="60"/>
      <c r="J32" s="58" t="s">
        <v>93</v>
      </c>
      <c r="K32" s="59"/>
      <c r="L32" s="60"/>
    </row>
    <row r="33" spans="1:12">
      <c r="A33" s="48" t="s">
        <v>99</v>
      </c>
      <c r="B33" s="46">
        <v>220</v>
      </c>
      <c r="C33" s="61" t="s">
        <v>24</v>
      </c>
      <c r="D33" s="48" t="s">
        <v>100</v>
      </c>
      <c r="E33" s="46">
        <v>0</v>
      </c>
      <c r="F33" s="61" t="s">
        <v>24</v>
      </c>
      <c r="G33" s="48" t="s">
        <v>101</v>
      </c>
      <c r="H33" s="46">
        <v>95</v>
      </c>
      <c r="I33" s="61" t="s">
        <v>24</v>
      </c>
      <c r="J33" s="48" t="s">
        <v>102</v>
      </c>
      <c r="K33" s="46">
        <v>2025</v>
      </c>
      <c r="L33" s="61" t="s">
        <v>24</v>
      </c>
    </row>
    <row r="34" spans="1:12">
      <c r="A34" s="48" t="s">
        <v>103</v>
      </c>
      <c r="B34" s="46">
        <v>115</v>
      </c>
      <c r="C34" s="61" t="s">
        <v>24</v>
      </c>
      <c r="D34" s="48" t="s">
        <v>104</v>
      </c>
      <c r="E34" s="46">
        <v>20</v>
      </c>
      <c r="F34" s="61" t="s">
        <v>24</v>
      </c>
      <c r="G34" s="48" t="s">
        <v>105</v>
      </c>
      <c r="H34" s="46">
        <v>15</v>
      </c>
      <c r="I34" s="61" t="s">
        <v>24</v>
      </c>
      <c r="J34" s="48"/>
      <c r="K34" s="46"/>
      <c r="L34" s="61"/>
    </row>
    <row r="35" spans="1:12">
      <c r="A35" s="48" t="s">
        <v>106</v>
      </c>
      <c r="B35" s="46">
        <v>255</v>
      </c>
      <c r="C35" s="61" t="s">
        <v>24</v>
      </c>
      <c r="D35" s="48" t="s">
        <v>107</v>
      </c>
      <c r="E35" s="46">
        <v>0</v>
      </c>
      <c r="F35" s="61" t="s">
        <v>24</v>
      </c>
      <c r="G35" s="48" t="s">
        <v>108</v>
      </c>
      <c r="H35" s="46">
        <v>0</v>
      </c>
      <c r="I35" s="61" t="s">
        <v>24</v>
      </c>
      <c r="J35" s="48"/>
      <c r="K35" s="46"/>
      <c r="L35" s="61"/>
    </row>
    <row r="36" spans="1:12">
      <c r="A36" s="48" t="s">
        <v>109</v>
      </c>
      <c r="B36" s="46">
        <v>245</v>
      </c>
      <c r="C36" s="61" t="s">
        <v>24</v>
      </c>
      <c r="D36" s="48" t="s">
        <v>110</v>
      </c>
      <c r="E36" s="46">
        <v>0</v>
      </c>
      <c r="F36" s="61" t="s">
        <v>24</v>
      </c>
      <c r="G36" s="48" t="s">
        <v>111</v>
      </c>
      <c r="H36" s="46">
        <v>0</v>
      </c>
      <c r="I36" s="61" t="s">
        <v>24</v>
      </c>
      <c r="J36" s="48"/>
      <c r="K36" s="46"/>
      <c r="L36" s="61"/>
    </row>
    <row r="37" spans="1:12">
      <c r="A37" s="48" t="s">
        <v>112</v>
      </c>
      <c r="B37" s="46">
        <v>50</v>
      </c>
      <c r="C37" s="61" t="s">
        <v>24</v>
      </c>
      <c r="D37" s="48" t="s">
        <v>113</v>
      </c>
      <c r="E37" s="46">
        <v>0</v>
      </c>
      <c r="F37" s="61" t="s">
        <v>24</v>
      </c>
      <c r="J37" s="48"/>
      <c r="K37" s="46"/>
      <c r="L37" s="49"/>
    </row>
    <row r="38" spans="1:12">
      <c r="A38" s="48" t="s">
        <v>114</v>
      </c>
      <c r="B38" s="46">
        <v>110</v>
      </c>
      <c r="C38" s="61" t="s">
        <v>24</v>
      </c>
      <c r="D38" s="48"/>
      <c r="E38" s="46"/>
      <c r="F38" s="49"/>
      <c r="G38" s="48" t="s">
        <v>115</v>
      </c>
      <c r="H38" s="46">
        <v>0</v>
      </c>
      <c r="I38" s="61" t="s">
        <v>24</v>
      </c>
      <c r="J38" s="48"/>
      <c r="K38" s="46"/>
      <c r="L38" s="49"/>
    </row>
    <row r="39" spans="1:12">
      <c r="A39" s="48" t="s">
        <v>116</v>
      </c>
      <c r="B39" s="46">
        <v>0</v>
      </c>
      <c r="C39" s="61" t="s">
        <v>24</v>
      </c>
      <c r="D39" s="48"/>
      <c r="E39" s="46"/>
      <c r="F39" s="49"/>
      <c r="G39" s="48" t="s">
        <v>117</v>
      </c>
      <c r="H39" s="46">
        <v>0</v>
      </c>
      <c r="I39" s="61" t="s">
        <v>24</v>
      </c>
      <c r="J39" s="48"/>
      <c r="K39" s="46"/>
      <c r="L39" s="49"/>
    </row>
    <row r="40" spans="1:12">
      <c r="A40" s="50"/>
      <c r="B40" s="62"/>
      <c r="C40" s="63"/>
      <c r="D40" s="53"/>
      <c r="E40" s="51"/>
      <c r="F40" s="52"/>
      <c r="G40" s="53"/>
      <c r="H40" s="51"/>
      <c r="I40" s="52"/>
      <c r="J40" s="53"/>
      <c r="K40" s="51"/>
      <c r="L40" s="52"/>
    </row>
    <row r="41" spans="1:12">
      <c r="A41" s="50" t="s">
        <v>119</v>
      </c>
      <c r="B41" s="62">
        <f>SUM(B33:B40)</f>
        <v>995</v>
      </c>
      <c r="C41" s="67"/>
      <c r="D41" s="50" t="s">
        <v>119</v>
      </c>
      <c r="E41" s="62">
        <f>SUM(E33:E40)</f>
        <v>20</v>
      </c>
      <c r="F41" s="67"/>
      <c r="G41" s="50" t="s">
        <v>119</v>
      </c>
      <c r="H41" s="62">
        <f>SUM(H33:H40)</f>
        <v>110</v>
      </c>
      <c r="I41" s="67"/>
      <c r="J41" s="50" t="s">
        <v>119</v>
      </c>
      <c r="K41" s="62">
        <f>SUM(K33:K40)</f>
        <v>2025</v>
      </c>
      <c r="L41" s="63" t="s">
        <v>24</v>
      </c>
    </row>
    <row r="43" spans="1:12">
      <c r="A43" s="54" t="s">
        <v>6</v>
      </c>
      <c r="B43" s="55"/>
      <c r="C43" s="56" t="s">
        <v>120</v>
      </c>
      <c r="D43" s="55"/>
      <c r="E43" s="55"/>
      <c r="F43" s="55"/>
      <c r="G43" s="55"/>
      <c r="H43" s="55"/>
      <c r="I43" s="55"/>
      <c r="J43" s="55"/>
      <c r="K43" s="55"/>
      <c r="L43" s="57"/>
    </row>
    <row r="44" spans="1:12">
      <c r="A44" s="58" t="s">
        <v>90</v>
      </c>
      <c r="B44" s="59"/>
      <c r="C44" s="60"/>
      <c r="D44" s="58" t="s">
        <v>91</v>
      </c>
      <c r="E44" s="59"/>
      <c r="F44" s="60"/>
      <c r="G44" s="58" t="s">
        <v>92</v>
      </c>
      <c r="H44" s="59"/>
      <c r="I44" s="60"/>
      <c r="J44" s="58" t="s">
        <v>93</v>
      </c>
      <c r="K44" s="59"/>
      <c r="L44" s="60"/>
    </row>
    <row r="45" spans="1:12">
      <c r="A45" s="48" t="s">
        <v>99</v>
      </c>
      <c r="B45" s="46">
        <v>260</v>
      </c>
      <c r="C45" s="61" t="s">
        <v>24</v>
      </c>
      <c r="D45" s="48" t="s">
        <v>100</v>
      </c>
      <c r="E45" s="46">
        <v>0</v>
      </c>
      <c r="F45" s="61" t="s">
        <v>24</v>
      </c>
      <c r="G45" s="48" t="s">
        <v>101</v>
      </c>
      <c r="H45" s="46">
        <v>0</v>
      </c>
      <c r="I45" s="61" t="s">
        <v>24</v>
      </c>
      <c r="J45" s="48" t="s">
        <v>102</v>
      </c>
      <c r="K45" s="46">
        <v>200</v>
      </c>
      <c r="L45" s="61" t="s">
        <v>24</v>
      </c>
    </row>
    <row r="46" spans="1:12">
      <c r="A46" s="48" t="s">
        <v>103</v>
      </c>
      <c r="B46" s="46">
        <v>0</v>
      </c>
      <c r="C46" s="61" t="s">
        <v>24</v>
      </c>
      <c r="D46" s="48" t="s">
        <v>104</v>
      </c>
      <c r="E46" s="46">
        <v>0</v>
      </c>
      <c r="F46" s="61" t="s">
        <v>24</v>
      </c>
      <c r="G46" s="48" t="s">
        <v>105</v>
      </c>
      <c r="H46" s="46">
        <v>15</v>
      </c>
      <c r="I46" s="61" t="s">
        <v>24</v>
      </c>
      <c r="J46" s="48"/>
      <c r="K46" s="46"/>
      <c r="L46" s="61"/>
    </row>
    <row r="47" spans="1:12">
      <c r="A47" s="48" t="s">
        <v>106</v>
      </c>
      <c r="B47" s="46">
        <v>0</v>
      </c>
      <c r="C47" s="61" t="s">
        <v>24</v>
      </c>
      <c r="D47" s="48" t="s">
        <v>107</v>
      </c>
      <c r="E47" s="46">
        <v>0</v>
      </c>
      <c r="F47" s="61" t="s">
        <v>24</v>
      </c>
      <c r="G47" s="48" t="s">
        <v>108</v>
      </c>
      <c r="H47" s="46">
        <v>0</v>
      </c>
      <c r="I47" s="61" t="s">
        <v>24</v>
      </c>
      <c r="J47" s="48"/>
      <c r="K47" s="46"/>
      <c r="L47" s="61"/>
    </row>
    <row r="48" spans="1:12">
      <c r="A48" s="48" t="s">
        <v>109</v>
      </c>
      <c r="B48" s="46">
        <v>40</v>
      </c>
      <c r="C48" s="61" t="s">
        <v>24</v>
      </c>
      <c r="D48" s="48" t="s">
        <v>110</v>
      </c>
      <c r="E48" s="46">
        <v>0</v>
      </c>
      <c r="F48" s="61" t="s">
        <v>24</v>
      </c>
      <c r="G48" s="48" t="s">
        <v>111</v>
      </c>
      <c r="H48" s="46">
        <v>0</v>
      </c>
      <c r="I48" s="61" t="s">
        <v>24</v>
      </c>
      <c r="J48" s="48"/>
      <c r="K48" s="46"/>
      <c r="L48" s="61"/>
    </row>
    <row r="49" spans="1:12">
      <c r="A49" s="48" t="s">
        <v>112</v>
      </c>
      <c r="B49" s="46">
        <v>35</v>
      </c>
      <c r="C49" s="61" t="s">
        <v>24</v>
      </c>
      <c r="D49" s="48" t="s">
        <v>113</v>
      </c>
      <c r="E49" s="46">
        <v>90</v>
      </c>
      <c r="F49" s="61" t="s">
        <v>24</v>
      </c>
      <c r="J49" s="48"/>
      <c r="K49" s="46"/>
      <c r="L49" s="49"/>
    </row>
    <row r="50" spans="1:12">
      <c r="A50" s="48" t="s">
        <v>114</v>
      </c>
      <c r="B50" s="46">
        <v>30</v>
      </c>
      <c r="C50" s="61" t="s">
        <v>24</v>
      </c>
      <c r="D50" s="48"/>
      <c r="E50" s="46"/>
      <c r="F50" s="49"/>
      <c r="G50" s="48" t="s">
        <v>115</v>
      </c>
      <c r="H50" s="46">
        <v>40</v>
      </c>
      <c r="I50" s="61" t="s">
        <v>24</v>
      </c>
      <c r="J50" s="48"/>
      <c r="K50" s="46"/>
      <c r="L50" s="49"/>
    </row>
    <row r="51" spans="1:12">
      <c r="A51" s="48" t="s">
        <v>116</v>
      </c>
      <c r="B51" s="46">
        <v>0</v>
      </c>
      <c r="C51" s="61" t="s">
        <v>24</v>
      </c>
      <c r="D51" s="48"/>
      <c r="E51" s="46"/>
      <c r="F51" s="49"/>
      <c r="G51" s="48" t="s">
        <v>117</v>
      </c>
      <c r="H51" s="46">
        <v>0</v>
      </c>
      <c r="I51" s="61" t="s">
        <v>24</v>
      </c>
      <c r="J51" s="48"/>
      <c r="K51" s="46"/>
      <c r="L51" s="49"/>
    </row>
    <row r="52" spans="1:12">
      <c r="A52" s="50"/>
      <c r="B52" s="62"/>
      <c r="C52" s="63"/>
      <c r="D52" s="53"/>
      <c r="E52" s="51"/>
      <c r="F52" s="52"/>
      <c r="G52" s="53"/>
      <c r="H52" s="51"/>
      <c r="I52" s="52"/>
      <c r="J52" s="53"/>
      <c r="K52" s="51"/>
      <c r="L52" s="52"/>
    </row>
    <row r="53" spans="1:12">
      <c r="A53" s="48"/>
      <c r="B53" s="46"/>
      <c r="C53" s="56" t="s">
        <v>121</v>
      </c>
      <c r="D53" s="55"/>
      <c r="E53" s="55"/>
      <c r="F53" s="55"/>
      <c r="G53" s="55"/>
      <c r="H53" s="55"/>
      <c r="I53" s="55"/>
      <c r="J53" s="55"/>
      <c r="K53" s="55"/>
      <c r="L53" s="57"/>
    </row>
    <row r="54" spans="1:12">
      <c r="A54" s="58" t="s">
        <v>90</v>
      </c>
      <c r="B54" s="59"/>
      <c r="C54" s="60"/>
      <c r="D54" s="58" t="s">
        <v>91</v>
      </c>
      <c r="E54" s="59"/>
      <c r="F54" s="60"/>
      <c r="G54" s="58" t="s">
        <v>92</v>
      </c>
      <c r="H54" s="59"/>
      <c r="I54" s="60"/>
      <c r="J54" s="58" t="s">
        <v>93</v>
      </c>
      <c r="K54" s="59"/>
      <c r="L54" s="60"/>
    </row>
    <row r="55" spans="1:12">
      <c r="A55" s="48" t="s">
        <v>99</v>
      </c>
      <c r="B55" s="46">
        <v>0</v>
      </c>
      <c r="C55" s="61" t="s">
        <v>24</v>
      </c>
      <c r="D55" s="48" t="s">
        <v>100</v>
      </c>
      <c r="E55" s="46">
        <v>0</v>
      </c>
      <c r="F55" s="61" t="s">
        <v>24</v>
      </c>
      <c r="G55" s="48" t="s">
        <v>101</v>
      </c>
      <c r="H55" s="46">
        <v>90</v>
      </c>
      <c r="I55" s="61" t="s">
        <v>24</v>
      </c>
      <c r="J55" s="48" t="s">
        <v>102</v>
      </c>
      <c r="K55" s="46">
        <v>1420</v>
      </c>
      <c r="L55" s="61" t="s">
        <v>24</v>
      </c>
    </row>
    <row r="56" spans="1:12">
      <c r="A56" s="48" t="s">
        <v>103</v>
      </c>
      <c r="B56" s="46">
        <v>110</v>
      </c>
      <c r="C56" s="61" t="s">
        <v>24</v>
      </c>
      <c r="D56" s="48" t="s">
        <v>104</v>
      </c>
      <c r="E56" s="46">
        <v>0</v>
      </c>
      <c r="F56" s="61" t="s">
        <v>24</v>
      </c>
      <c r="G56" s="48" t="s">
        <v>105</v>
      </c>
      <c r="H56" s="46">
        <v>25</v>
      </c>
      <c r="I56" s="61" t="s">
        <v>24</v>
      </c>
      <c r="J56" s="48"/>
      <c r="K56" s="46"/>
      <c r="L56" s="61"/>
    </row>
    <row r="57" spans="1:12">
      <c r="A57" s="48" t="s">
        <v>106</v>
      </c>
      <c r="B57" s="46">
        <v>365</v>
      </c>
      <c r="C57" s="61" t="s">
        <v>24</v>
      </c>
      <c r="D57" s="48" t="s">
        <v>107</v>
      </c>
      <c r="E57" s="46">
        <v>0</v>
      </c>
      <c r="F57" s="61" t="s">
        <v>24</v>
      </c>
      <c r="G57" s="48" t="s">
        <v>108</v>
      </c>
      <c r="H57" s="46">
        <v>0</v>
      </c>
      <c r="I57" s="61" t="s">
        <v>24</v>
      </c>
      <c r="J57" s="48"/>
      <c r="K57" s="46"/>
      <c r="L57" s="61"/>
    </row>
    <row r="58" spans="1:12">
      <c r="A58" s="48" t="s">
        <v>109</v>
      </c>
      <c r="B58" s="46">
        <v>310</v>
      </c>
      <c r="C58" s="61" t="s">
        <v>24</v>
      </c>
      <c r="D58" s="48" t="s">
        <v>110</v>
      </c>
      <c r="E58" s="46">
        <v>0</v>
      </c>
      <c r="F58" s="61" t="s">
        <v>24</v>
      </c>
      <c r="G58" s="48" t="s">
        <v>111</v>
      </c>
      <c r="H58" s="46">
        <v>0</v>
      </c>
      <c r="I58" s="61" t="s">
        <v>24</v>
      </c>
      <c r="J58" s="48"/>
      <c r="K58" s="46"/>
      <c r="L58" s="61"/>
    </row>
    <row r="59" spans="1:12">
      <c r="A59" s="48" t="s">
        <v>112</v>
      </c>
      <c r="B59" s="46">
        <v>10</v>
      </c>
      <c r="C59" s="61" t="s">
        <v>24</v>
      </c>
      <c r="D59" s="48" t="s">
        <v>113</v>
      </c>
      <c r="E59" s="46">
        <v>0</v>
      </c>
      <c r="F59" s="61" t="s">
        <v>24</v>
      </c>
      <c r="J59" s="48"/>
      <c r="K59" s="46"/>
      <c r="L59" s="49"/>
    </row>
    <row r="60" spans="1:12">
      <c r="A60" s="48" t="s">
        <v>114</v>
      </c>
      <c r="B60" s="46">
        <v>0</v>
      </c>
      <c r="C60" s="61" t="s">
        <v>24</v>
      </c>
      <c r="D60" s="48"/>
      <c r="E60" s="46"/>
      <c r="F60" s="49"/>
      <c r="G60" s="48" t="s">
        <v>115</v>
      </c>
      <c r="H60" s="46">
        <v>0</v>
      </c>
      <c r="I60" s="61" t="s">
        <v>24</v>
      </c>
      <c r="J60" s="48"/>
      <c r="K60" s="46"/>
      <c r="L60" s="49"/>
    </row>
    <row r="61" spans="1:12">
      <c r="A61" s="48" t="s">
        <v>116</v>
      </c>
      <c r="B61" s="46">
        <v>0</v>
      </c>
      <c r="C61" s="61" t="s">
        <v>24</v>
      </c>
      <c r="D61" s="48"/>
      <c r="E61" s="46"/>
      <c r="F61" s="49"/>
      <c r="G61" s="48" t="s">
        <v>117</v>
      </c>
      <c r="H61" s="46">
        <v>0</v>
      </c>
      <c r="I61" s="61" t="s">
        <v>24</v>
      </c>
      <c r="J61" s="48"/>
      <c r="K61" s="46"/>
      <c r="L61" s="49"/>
    </row>
    <row r="62" spans="1:12">
      <c r="A62" s="50"/>
      <c r="B62" s="62"/>
      <c r="C62" s="63"/>
      <c r="D62" s="53"/>
      <c r="E62" s="51"/>
      <c r="F62" s="52"/>
      <c r="G62" s="53"/>
      <c r="H62" s="51"/>
      <c r="I62" s="52"/>
      <c r="J62" s="53"/>
      <c r="K62" s="51"/>
      <c r="L62" s="52"/>
    </row>
    <row r="63" spans="1:12">
      <c r="A63" s="50" t="s">
        <v>119</v>
      </c>
      <c r="B63" s="62">
        <f>SUM(B45:B62)</f>
        <v>1160</v>
      </c>
      <c r="C63" s="67"/>
      <c r="D63" s="50" t="s">
        <v>119</v>
      </c>
      <c r="E63" s="62">
        <f>SUM(E45:E62)</f>
        <v>90</v>
      </c>
      <c r="F63" s="67"/>
      <c r="G63" s="50" t="s">
        <v>119</v>
      </c>
      <c r="H63" s="62">
        <f>SUM(H45:H62)</f>
        <v>170</v>
      </c>
      <c r="I63" s="67"/>
      <c r="J63" s="50" t="s">
        <v>119</v>
      </c>
      <c r="K63" s="62">
        <f>SUM(K45:K62)</f>
        <v>1620</v>
      </c>
      <c r="L63" s="63" t="s">
        <v>24</v>
      </c>
    </row>
    <row r="65" spans="1:12">
      <c r="A65" s="54" t="s">
        <v>7</v>
      </c>
      <c r="B65" s="55"/>
      <c r="C65" s="56" t="s">
        <v>118</v>
      </c>
      <c r="D65" s="55"/>
      <c r="E65" s="55"/>
      <c r="F65" s="55"/>
      <c r="G65" s="55"/>
      <c r="H65" s="55"/>
      <c r="I65" s="55"/>
      <c r="J65" s="55"/>
      <c r="K65" s="55"/>
      <c r="L65" s="57"/>
    </row>
    <row r="66" spans="1:12">
      <c r="A66" s="58" t="s">
        <v>90</v>
      </c>
      <c r="B66" s="59"/>
      <c r="C66" s="60"/>
      <c r="D66" s="58" t="s">
        <v>91</v>
      </c>
      <c r="E66" s="59"/>
      <c r="F66" s="60"/>
      <c r="G66" s="58" t="s">
        <v>92</v>
      </c>
      <c r="H66" s="59"/>
      <c r="I66" s="60"/>
      <c r="J66" s="58" t="s">
        <v>93</v>
      </c>
      <c r="K66" s="59"/>
      <c r="L66" s="60"/>
    </row>
    <row r="67" spans="1:12">
      <c r="A67" s="48" t="s">
        <v>99</v>
      </c>
      <c r="B67" s="46">
        <v>200</v>
      </c>
      <c r="C67" s="61" t="s">
        <v>24</v>
      </c>
      <c r="D67" s="48" t="s">
        <v>100</v>
      </c>
      <c r="E67" s="46">
        <v>30</v>
      </c>
      <c r="F67" s="61" t="s">
        <v>24</v>
      </c>
      <c r="G67" s="48" t="s">
        <v>101</v>
      </c>
      <c r="H67" s="46">
        <v>100</v>
      </c>
      <c r="I67" s="61" t="s">
        <v>24</v>
      </c>
      <c r="J67" s="48" t="s">
        <v>102</v>
      </c>
      <c r="K67" s="46">
        <v>1780</v>
      </c>
      <c r="L67" s="61" t="s">
        <v>24</v>
      </c>
    </row>
    <row r="68" spans="1:12">
      <c r="A68" s="48" t="s">
        <v>103</v>
      </c>
      <c r="B68" s="46">
        <v>50</v>
      </c>
      <c r="C68" s="61" t="s">
        <v>24</v>
      </c>
      <c r="D68" s="48" t="s">
        <v>104</v>
      </c>
      <c r="E68" s="46">
        <v>20</v>
      </c>
      <c r="F68" s="61" t="s">
        <v>24</v>
      </c>
      <c r="G68" s="48" t="s">
        <v>105</v>
      </c>
      <c r="H68" s="46">
        <v>25</v>
      </c>
      <c r="I68" s="61" t="s">
        <v>24</v>
      </c>
      <c r="J68" s="48"/>
      <c r="K68" s="46"/>
      <c r="L68" s="61"/>
    </row>
    <row r="69" spans="1:12">
      <c r="A69" s="48" t="s">
        <v>106</v>
      </c>
      <c r="B69" s="46">
        <v>280</v>
      </c>
      <c r="C69" s="61" t="s">
        <v>24</v>
      </c>
      <c r="D69" s="48" t="s">
        <v>107</v>
      </c>
      <c r="E69" s="46">
        <v>0</v>
      </c>
      <c r="F69" s="61" t="s">
        <v>24</v>
      </c>
      <c r="G69" s="48" t="s">
        <v>108</v>
      </c>
      <c r="H69" s="46">
        <v>0</v>
      </c>
      <c r="I69" s="61" t="s">
        <v>24</v>
      </c>
      <c r="J69" s="48"/>
      <c r="K69" s="46"/>
      <c r="L69" s="61"/>
    </row>
    <row r="70" spans="1:12">
      <c r="A70" s="48" t="s">
        <v>109</v>
      </c>
      <c r="B70" s="46">
        <v>250</v>
      </c>
      <c r="C70" s="61" t="s">
        <v>24</v>
      </c>
      <c r="D70" s="48" t="s">
        <v>110</v>
      </c>
      <c r="E70" s="46">
        <v>0</v>
      </c>
      <c r="F70" s="61" t="s">
        <v>24</v>
      </c>
      <c r="G70" s="48" t="s">
        <v>111</v>
      </c>
      <c r="H70" s="46">
        <v>35</v>
      </c>
      <c r="I70" s="61" t="s">
        <v>24</v>
      </c>
      <c r="J70" s="48"/>
      <c r="K70" s="46"/>
      <c r="L70" s="61"/>
    </row>
    <row r="71" spans="1:12">
      <c r="A71" s="48" t="s">
        <v>112</v>
      </c>
      <c r="B71" s="46">
        <v>50</v>
      </c>
      <c r="C71" s="61" t="s">
        <v>24</v>
      </c>
      <c r="D71" s="48" t="s">
        <v>113</v>
      </c>
      <c r="E71" s="46">
        <v>0</v>
      </c>
      <c r="F71" s="61" t="s">
        <v>24</v>
      </c>
      <c r="J71" s="48"/>
      <c r="K71" s="46"/>
      <c r="L71" s="49"/>
    </row>
    <row r="72" spans="1:12">
      <c r="A72" s="48" t="s">
        <v>114</v>
      </c>
      <c r="B72" s="46">
        <v>0</v>
      </c>
      <c r="C72" s="61" t="s">
        <v>24</v>
      </c>
      <c r="D72" s="48"/>
      <c r="E72" s="46"/>
      <c r="F72" s="49"/>
      <c r="G72" s="48" t="s">
        <v>115</v>
      </c>
      <c r="H72" s="46">
        <v>0</v>
      </c>
      <c r="I72" s="61" t="s">
        <v>24</v>
      </c>
      <c r="J72" s="48"/>
      <c r="K72" s="46"/>
      <c r="L72" s="49"/>
    </row>
    <row r="73" spans="1:12">
      <c r="A73" s="48" t="s">
        <v>116</v>
      </c>
      <c r="B73" s="46">
        <v>25</v>
      </c>
      <c r="C73" s="61" t="s">
        <v>24</v>
      </c>
      <c r="D73" s="48"/>
      <c r="E73" s="46"/>
      <c r="F73" s="49"/>
      <c r="G73" s="48" t="s">
        <v>117</v>
      </c>
      <c r="H73" s="46">
        <v>0</v>
      </c>
      <c r="I73" s="61" t="s">
        <v>24</v>
      </c>
      <c r="J73" s="48"/>
      <c r="K73" s="46"/>
      <c r="L73" s="49"/>
    </row>
    <row r="74" spans="1:12">
      <c r="A74" s="50"/>
      <c r="B74" s="62"/>
      <c r="C74" s="63"/>
      <c r="D74" s="53"/>
      <c r="E74" s="51"/>
      <c r="F74" s="52"/>
      <c r="G74" s="53"/>
      <c r="H74" s="51"/>
      <c r="I74" s="52"/>
      <c r="J74" s="53"/>
      <c r="K74" s="51"/>
      <c r="L74" s="52"/>
    </row>
    <row r="75" spans="1:12">
      <c r="A75" s="50" t="s">
        <v>119</v>
      </c>
      <c r="B75" s="62">
        <f>SUM(B67:B74)</f>
        <v>855</v>
      </c>
      <c r="C75" s="67"/>
      <c r="D75" s="50" t="s">
        <v>119</v>
      </c>
      <c r="E75" s="62">
        <f>SUM(E67:E74)</f>
        <v>50</v>
      </c>
      <c r="F75" s="67"/>
      <c r="G75" s="50" t="s">
        <v>119</v>
      </c>
      <c r="H75" s="62">
        <f>SUM(H67:H74)</f>
        <v>160</v>
      </c>
      <c r="I75" s="67"/>
      <c r="J75" s="50" t="s">
        <v>119</v>
      </c>
      <c r="K75" s="62">
        <f>SUM(K67:K74)</f>
        <v>1780</v>
      </c>
      <c r="L75" s="63" t="s">
        <v>24</v>
      </c>
    </row>
    <row r="77" spans="1:12">
      <c r="A77" s="54" t="s">
        <v>8</v>
      </c>
      <c r="B77" s="55"/>
      <c r="C77" s="56" t="s">
        <v>118</v>
      </c>
      <c r="D77" s="55"/>
      <c r="E77" s="55"/>
      <c r="F77" s="55"/>
      <c r="G77" s="55"/>
      <c r="H77" s="55"/>
      <c r="I77" s="55"/>
      <c r="J77" s="55"/>
      <c r="K77" s="55"/>
      <c r="L77" s="57"/>
    </row>
    <row r="78" spans="1:12">
      <c r="A78" s="58" t="s">
        <v>90</v>
      </c>
      <c r="B78" s="59"/>
      <c r="C78" s="60"/>
      <c r="D78" s="58" t="s">
        <v>91</v>
      </c>
      <c r="E78" s="59"/>
      <c r="F78" s="60"/>
      <c r="G78" s="58" t="s">
        <v>92</v>
      </c>
      <c r="H78" s="59"/>
      <c r="I78" s="60"/>
      <c r="J78" s="58" t="s">
        <v>93</v>
      </c>
      <c r="K78" s="59"/>
      <c r="L78" s="60"/>
    </row>
    <row r="79" spans="1:12">
      <c r="A79" s="48" t="s">
        <v>99</v>
      </c>
      <c r="B79" s="46">
        <v>1745</v>
      </c>
      <c r="C79" s="61" t="s">
        <v>24</v>
      </c>
      <c r="D79" s="48" t="s">
        <v>100</v>
      </c>
      <c r="E79" s="46">
        <v>550</v>
      </c>
      <c r="F79" s="61" t="s">
        <v>24</v>
      </c>
      <c r="G79" s="48" t="s">
        <v>101</v>
      </c>
      <c r="H79" s="46">
        <v>85</v>
      </c>
      <c r="I79" s="61" t="s">
        <v>24</v>
      </c>
      <c r="J79" s="48" t="s">
        <v>102</v>
      </c>
      <c r="K79" s="46">
        <v>330</v>
      </c>
      <c r="L79" s="61" t="s">
        <v>24</v>
      </c>
    </row>
    <row r="80" spans="1:12">
      <c r="A80" s="48" t="s">
        <v>103</v>
      </c>
      <c r="B80" s="46">
        <v>20</v>
      </c>
      <c r="C80" s="61" t="s">
        <v>24</v>
      </c>
      <c r="D80" s="48" t="s">
        <v>104</v>
      </c>
      <c r="E80" s="46">
        <v>0</v>
      </c>
      <c r="F80" s="61" t="s">
        <v>24</v>
      </c>
      <c r="G80" s="48" t="s">
        <v>105</v>
      </c>
      <c r="H80" s="46">
        <v>270</v>
      </c>
      <c r="I80" s="61" t="s">
        <v>24</v>
      </c>
      <c r="J80" s="48"/>
      <c r="K80" s="46"/>
      <c r="L80" s="61"/>
    </row>
    <row r="81" spans="1:12">
      <c r="A81" s="48" t="s">
        <v>106</v>
      </c>
      <c r="B81" s="46">
        <v>600</v>
      </c>
      <c r="C81" s="61" t="s">
        <v>24</v>
      </c>
      <c r="D81" s="48" t="s">
        <v>107</v>
      </c>
      <c r="E81" s="46">
        <v>360</v>
      </c>
      <c r="F81" s="61" t="s">
        <v>24</v>
      </c>
      <c r="G81" s="48" t="s">
        <v>108</v>
      </c>
      <c r="H81" s="46">
        <v>0</v>
      </c>
      <c r="I81" s="61" t="s">
        <v>24</v>
      </c>
      <c r="J81" s="48"/>
      <c r="K81" s="46"/>
      <c r="L81" s="61"/>
    </row>
    <row r="82" spans="1:12">
      <c r="A82" s="48" t="s">
        <v>109</v>
      </c>
      <c r="B82" s="46">
        <v>260</v>
      </c>
      <c r="C82" s="61" t="s">
        <v>24</v>
      </c>
      <c r="D82" s="48" t="s">
        <v>110</v>
      </c>
      <c r="E82" s="46">
        <v>0</v>
      </c>
      <c r="F82" s="61" t="s">
        <v>24</v>
      </c>
      <c r="G82" s="48" t="s">
        <v>111</v>
      </c>
      <c r="H82" s="46">
        <v>0</v>
      </c>
      <c r="I82" s="61" t="s">
        <v>24</v>
      </c>
      <c r="J82" s="48"/>
      <c r="K82" s="46"/>
      <c r="L82" s="61"/>
    </row>
    <row r="83" spans="1:12">
      <c r="A83" s="48" t="s">
        <v>112</v>
      </c>
      <c r="B83" s="46">
        <v>0</v>
      </c>
      <c r="C83" s="61" t="s">
        <v>24</v>
      </c>
      <c r="D83" s="48" t="s">
        <v>113</v>
      </c>
      <c r="E83" s="46">
        <v>250</v>
      </c>
      <c r="F83" s="61" t="s">
        <v>24</v>
      </c>
      <c r="J83" s="48"/>
      <c r="K83" s="46"/>
      <c r="L83" s="49"/>
    </row>
    <row r="84" spans="1:12">
      <c r="A84" s="48" t="s">
        <v>114</v>
      </c>
      <c r="B84" s="46">
        <v>0</v>
      </c>
      <c r="C84" s="61" t="s">
        <v>24</v>
      </c>
      <c r="D84" s="48"/>
      <c r="E84" s="46"/>
      <c r="F84" s="49"/>
      <c r="G84" s="48" t="s">
        <v>115</v>
      </c>
      <c r="H84" s="46">
        <v>660</v>
      </c>
      <c r="I84" s="61" t="s">
        <v>24</v>
      </c>
      <c r="J84" s="48"/>
      <c r="K84" s="46"/>
      <c r="L84" s="49"/>
    </row>
    <row r="85" spans="1:12">
      <c r="A85" s="48" t="s">
        <v>116</v>
      </c>
      <c r="B85" s="46">
        <v>0</v>
      </c>
      <c r="C85" s="61" t="s">
        <v>24</v>
      </c>
      <c r="D85" s="48"/>
      <c r="E85" s="46"/>
      <c r="F85" s="49"/>
      <c r="G85" s="48" t="s">
        <v>117</v>
      </c>
      <c r="H85" s="46">
        <v>0</v>
      </c>
      <c r="I85" s="61" t="s">
        <v>24</v>
      </c>
      <c r="J85" s="48"/>
      <c r="K85" s="46"/>
      <c r="L85" s="49"/>
    </row>
    <row r="86" spans="1:12">
      <c r="A86" s="50"/>
      <c r="B86" s="62"/>
      <c r="C86" s="63"/>
      <c r="D86" s="53"/>
      <c r="E86" s="51"/>
      <c r="F86" s="52"/>
      <c r="G86" s="53"/>
      <c r="H86" s="51"/>
      <c r="I86" s="52"/>
      <c r="J86" s="53"/>
      <c r="K86" s="51"/>
      <c r="L86" s="52"/>
    </row>
    <row r="87" spans="1:12">
      <c r="A87" s="50" t="s">
        <v>119</v>
      </c>
      <c r="B87" s="62">
        <f>SUM(B79:B86)</f>
        <v>2625</v>
      </c>
      <c r="C87" s="67"/>
      <c r="D87" s="50" t="s">
        <v>119</v>
      </c>
      <c r="E87" s="62">
        <f>SUM(E79:E86)</f>
        <v>1160</v>
      </c>
      <c r="F87" s="67"/>
      <c r="G87" s="50" t="s">
        <v>119</v>
      </c>
      <c r="H87" s="62">
        <f>SUM(H79:H86)</f>
        <v>1015</v>
      </c>
      <c r="I87" s="67"/>
      <c r="J87" s="50" t="s">
        <v>119</v>
      </c>
      <c r="K87" s="62">
        <f>SUM(K79:K86)</f>
        <v>330</v>
      </c>
      <c r="L87" s="63" t="s">
        <v>24</v>
      </c>
    </row>
    <row r="89" spans="1:12">
      <c r="A89" s="54" t="s">
        <v>9</v>
      </c>
      <c r="B89" s="55"/>
      <c r="C89" s="56" t="s">
        <v>118</v>
      </c>
      <c r="D89" s="55"/>
      <c r="E89" s="55"/>
      <c r="F89" s="55"/>
      <c r="G89" s="55"/>
      <c r="H89" s="55"/>
      <c r="I89" s="55"/>
      <c r="J89" s="55"/>
      <c r="K89" s="55"/>
      <c r="L89" s="57"/>
    </row>
    <row r="90" spans="1:12">
      <c r="A90" s="58" t="s">
        <v>90</v>
      </c>
      <c r="B90" s="59"/>
      <c r="C90" s="60"/>
      <c r="D90" s="58" t="s">
        <v>91</v>
      </c>
      <c r="E90" s="59"/>
      <c r="F90" s="60"/>
      <c r="G90" s="58" t="s">
        <v>92</v>
      </c>
      <c r="H90" s="59"/>
      <c r="I90" s="60"/>
      <c r="J90" s="58" t="s">
        <v>93</v>
      </c>
      <c r="K90" s="59"/>
      <c r="L90" s="60"/>
    </row>
    <row r="91" spans="1:12">
      <c r="A91" s="48" t="s">
        <v>99</v>
      </c>
      <c r="B91" s="46">
        <v>145</v>
      </c>
      <c r="C91" s="61" t="s">
        <v>24</v>
      </c>
      <c r="D91" s="48" t="s">
        <v>100</v>
      </c>
      <c r="E91" s="46">
        <v>40</v>
      </c>
      <c r="F91" s="61" t="s">
        <v>24</v>
      </c>
      <c r="G91" s="48" t="s">
        <v>101</v>
      </c>
      <c r="H91" s="46">
        <v>80</v>
      </c>
      <c r="I91" s="61" t="s">
        <v>24</v>
      </c>
      <c r="J91" s="48" t="s">
        <v>102</v>
      </c>
      <c r="K91" s="46">
        <v>860</v>
      </c>
      <c r="L91" s="61" t="s">
        <v>24</v>
      </c>
    </row>
    <row r="92" spans="1:12">
      <c r="A92" s="48" t="s">
        <v>103</v>
      </c>
      <c r="B92" s="46">
        <v>55</v>
      </c>
      <c r="C92" s="61" t="s">
        <v>24</v>
      </c>
      <c r="D92" s="48" t="s">
        <v>104</v>
      </c>
      <c r="E92" s="46">
        <v>0</v>
      </c>
      <c r="F92" s="61" t="s">
        <v>24</v>
      </c>
      <c r="G92" s="48" t="s">
        <v>105</v>
      </c>
      <c r="H92" s="46">
        <v>20</v>
      </c>
      <c r="I92" s="61" t="s">
        <v>24</v>
      </c>
      <c r="J92" s="48"/>
      <c r="K92" s="46"/>
      <c r="L92" s="61"/>
    </row>
    <row r="93" spans="1:12">
      <c r="A93" s="48" t="s">
        <v>106</v>
      </c>
      <c r="B93" s="46">
        <v>225</v>
      </c>
      <c r="C93" s="61" t="s">
        <v>24</v>
      </c>
      <c r="D93" s="48" t="s">
        <v>107</v>
      </c>
      <c r="E93" s="46">
        <v>0</v>
      </c>
      <c r="F93" s="61" t="s">
        <v>24</v>
      </c>
      <c r="G93" s="48" t="s">
        <v>108</v>
      </c>
      <c r="H93" s="46">
        <v>0</v>
      </c>
      <c r="I93" s="61" t="s">
        <v>24</v>
      </c>
      <c r="J93" s="48"/>
      <c r="K93" s="46"/>
      <c r="L93" s="61"/>
    </row>
    <row r="94" spans="1:12">
      <c r="A94" s="48" t="s">
        <v>109</v>
      </c>
      <c r="B94" s="46">
        <v>340</v>
      </c>
      <c r="C94" s="61" t="s">
        <v>24</v>
      </c>
      <c r="D94" s="48" t="s">
        <v>110</v>
      </c>
      <c r="E94" s="46">
        <v>15</v>
      </c>
      <c r="F94" s="61" t="s">
        <v>24</v>
      </c>
      <c r="G94" s="48" t="s">
        <v>111</v>
      </c>
      <c r="H94" s="46">
        <v>0</v>
      </c>
      <c r="I94" s="61" t="s">
        <v>24</v>
      </c>
      <c r="J94" s="48"/>
      <c r="K94" s="46"/>
      <c r="L94" s="61"/>
    </row>
    <row r="95" spans="1:12">
      <c r="A95" s="48" t="s">
        <v>112</v>
      </c>
      <c r="B95" s="46">
        <v>160</v>
      </c>
      <c r="C95" s="61" t="s">
        <v>24</v>
      </c>
      <c r="D95" s="48" t="s">
        <v>113</v>
      </c>
      <c r="E95" s="46">
        <v>0</v>
      </c>
      <c r="F95" s="61" t="s">
        <v>24</v>
      </c>
      <c r="J95" s="48"/>
      <c r="K95" s="46"/>
      <c r="L95" s="49"/>
    </row>
    <row r="96" spans="1:12">
      <c r="A96" s="48" t="s">
        <v>114</v>
      </c>
      <c r="B96" s="46">
        <v>0</v>
      </c>
      <c r="C96" s="61" t="s">
        <v>24</v>
      </c>
      <c r="D96" s="48"/>
      <c r="E96" s="46"/>
      <c r="F96" s="49"/>
      <c r="G96" s="48" t="s">
        <v>115</v>
      </c>
      <c r="H96" s="46">
        <v>0</v>
      </c>
      <c r="I96" s="61" t="s">
        <v>24</v>
      </c>
      <c r="J96" s="48"/>
      <c r="K96" s="46"/>
      <c r="L96" s="49"/>
    </row>
    <row r="97" spans="1:12">
      <c r="A97" s="48" t="s">
        <v>116</v>
      </c>
      <c r="B97" s="46">
        <v>0</v>
      </c>
      <c r="C97" s="61" t="s">
        <v>24</v>
      </c>
      <c r="D97" s="48"/>
      <c r="E97" s="46"/>
      <c r="F97" s="49"/>
      <c r="G97" s="48" t="s">
        <v>117</v>
      </c>
      <c r="H97" s="46">
        <v>0</v>
      </c>
      <c r="I97" s="61" t="s">
        <v>24</v>
      </c>
      <c r="J97" s="48"/>
      <c r="K97" s="46"/>
      <c r="L97" s="49"/>
    </row>
    <row r="98" spans="1:12">
      <c r="A98" s="50"/>
      <c r="B98" s="62"/>
      <c r="C98" s="63"/>
      <c r="D98" s="53"/>
      <c r="E98" s="51"/>
      <c r="F98" s="52"/>
      <c r="G98" s="53"/>
      <c r="H98" s="51"/>
      <c r="I98" s="52"/>
      <c r="J98" s="53"/>
      <c r="K98" s="51"/>
      <c r="L98" s="52"/>
    </row>
    <row r="99" spans="1:12">
      <c r="A99" s="50" t="s">
        <v>119</v>
      </c>
      <c r="B99" s="62">
        <f>SUM(B91:B98)</f>
        <v>925</v>
      </c>
      <c r="C99" s="67"/>
      <c r="D99" s="50" t="s">
        <v>119</v>
      </c>
      <c r="E99" s="62">
        <f>SUM(E91:E98)</f>
        <v>55</v>
      </c>
      <c r="F99" s="67"/>
      <c r="G99" s="50" t="s">
        <v>119</v>
      </c>
      <c r="H99" s="62">
        <f>SUM(H91:H98)</f>
        <v>100</v>
      </c>
      <c r="I99" s="67"/>
      <c r="J99" s="50" t="s">
        <v>119</v>
      </c>
      <c r="K99" s="62">
        <f>SUM(K91:K98)</f>
        <v>860</v>
      </c>
      <c r="L99" s="63" t="s">
        <v>24</v>
      </c>
    </row>
    <row r="101" spans="1:12">
      <c r="A101" s="54" t="s">
        <v>10</v>
      </c>
      <c r="B101" s="55"/>
      <c r="C101" s="56" t="s">
        <v>118</v>
      </c>
      <c r="D101" s="55"/>
      <c r="E101" s="55"/>
      <c r="F101" s="55"/>
      <c r="G101" s="55"/>
      <c r="H101" s="55"/>
      <c r="I101" s="55"/>
      <c r="J101" s="55"/>
      <c r="K101" s="55"/>
      <c r="L101" s="57"/>
    </row>
    <row r="102" spans="1:12">
      <c r="A102" s="58" t="s">
        <v>90</v>
      </c>
      <c r="B102" s="59"/>
      <c r="C102" s="60"/>
      <c r="D102" s="58" t="s">
        <v>91</v>
      </c>
      <c r="E102" s="59"/>
      <c r="F102" s="60"/>
      <c r="G102" s="58" t="s">
        <v>92</v>
      </c>
      <c r="H102" s="59"/>
      <c r="I102" s="60"/>
      <c r="J102" s="58" t="s">
        <v>93</v>
      </c>
      <c r="K102" s="59"/>
      <c r="L102" s="60"/>
    </row>
    <row r="103" spans="1:12">
      <c r="A103" s="48" t="s">
        <v>99</v>
      </c>
      <c r="B103" s="46">
        <v>200</v>
      </c>
      <c r="C103" s="61" t="s">
        <v>24</v>
      </c>
      <c r="D103" s="48" t="s">
        <v>100</v>
      </c>
      <c r="E103" s="46">
        <v>0</v>
      </c>
      <c r="F103" s="61" t="s">
        <v>24</v>
      </c>
      <c r="G103" s="48" t="s">
        <v>101</v>
      </c>
      <c r="H103" s="46">
        <v>185</v>
      </c>
      <c r="I103" s="61" t="s">
        <v>24</v>
      </c>
      <c r="J103" s="48" t="s">
        <v>102</v>
      </c>
      <c r="K103" s="46">
        <v>2100</v>
      </c>
      <c r="L103" s="61" t="s">
        <v>24</v>
      </c>
    </row>
    <row r="104" spans="1:12">
      <c r="A104" s="48" t="s">
        <v>103</v>
      </c>
      <c r="B104" s="46">
        <v>0</v>
      </c>
      <c r="C104" s="61" t="s">
        <v>24</v>
      </c>
      <c r="D104" s="48" t="s">
        <v>104</v>
      </c>
      <c r="E104" s="46">
        <v>0</v>
      </c>
      <c r="F104" s="61" t="s">
        <v>24</v>
      </c>
      <c r="G104" s="48" t="s">
        <v>105</v>
      </c>
      <c r="H104" s="46">
        <v>45</v>
      </c>
      <c r="I104" s="61" t="s">
        <v>24</v>
      </c>
      <c r="J104" s="48"/>
      <c r="K104" s="46"/>
      <c r="L104" s="61"/>
    </row>
    <row r="105" spans="1:12">
      <c r="A105" s="48" t="s">
        <v>106</v>
      </c>
      <c r="B105" s="46">
        <v>185</v>
      </c>
      <c r="C105" s="61" t="s">
        <v>24</v>
      </c>
      <c r="D105" s="48" t="s">
        <v>107</v>
      </c>
      <c r="E105" s="46">
        <v>0</v>
      </c>
      <c r="F105" s="61" t="s">
        <v>24</v>
      </c>
      <c r="G105" s="48" t="s">
        <v>108</v>
      </c>
      <c r="H105" s="46">
        <v>0</v>
      </c>
      <c r="I105" s="61" t="s">
        <v>24</v>
      </c>
      <c r="J105" s="48"/>
      <c r="K105" s="46"/>
      <c r="L105" s="61"/>
    </row>
    <row r="106" spans="1:12">
      <c r="A106" s="48" t="s">
        <v>109</v>
      </c>
      <c r="B106" s="46">
        <v>170</v>
      </c>
      <c r="C106" s="61" t="s">
        <v>24</v>
      </c>
      <c r="D106" s="48" t="s">
        <v>110</v>
      </c>
      <c r="E106" s="46">
        <v>15</v>
      </c>
      <c r="F106" s="61" t="s">
        <v>24</v>
      </c>
      <c r="G106" s="48" t="s">
        <v>111</v>
      </c>
      <c r="H106" s="46">
        <v>20</v>
      </c>
      <c r="I106" s="61" t="s">
        <v>24</v>
      </c>
      <c r="J106" s="48"/>
      <c r="K106" s="46"/>
      <c r="L106" s="61"/>
    </row>
    <row r="107" spans="1:12">
      <c r="A107" s="48" t="s">
        <v>112</v>
      </c>
      <c r="B107" s="46">
        <v>40</v>
      </c>
      <c r="C107" s="61" t="s">
        <v>24</v>
      </c>
      <c r="D107" s="48" t="s">
        <v>113</v>
      </c>
      <c r="E107" s="46">
        <v>0</v>
      </c>
      <c r="F107" s="61" t="s">
        <v>24</v>
      </c>
      <c r="J107" s="48"/>
      <c r="K107" s="46"/>
      <c r="L107" s="49"/>
    </row>
    <row r="108" spans="1:12">
      <c r="A108" s="48" t="s">
        <v>114</v>
      </c>
      <c r="B108" s="46">
        <v>0</v>
      </c>
      <c r="C108" s="61" t="s">
        <v>24</v>
      </c>
      <c r="D108" s="48"/>
      <c r="E108" s="46"/>
      <c r="F108" s="49"/>
      <c r="G108" s="48" t="s">
        <v>115</v>
      </c>
      <c r="H108" s="46">
        <v>0</v>
      </c>
      <c r="I108" s="61" t="s">
        <v>24</v>
      </c>
      <c r="J108" s="48"/>
      <c r="K108" s="46"/>
      <c r="L108" s="49"/>
    </row>
    <row r="109" spans="1:12">
      <c r="A109" s="48" t="s">
        <v>116</v>
      </c>
      <c r="B109" s="46">
        <v>20</v>
      </c>
      <c r="C109" s="61" t="s">
        <v>24</v>
      </c>
      <c r="D109" s="48"/>
      <c r="E109" s="46"/>
      <c r="F109" s="49"/>
      <c r="G109" s="48" t="s">
        <v>117</v>
      </c>
      <c r="H109" s="46">
        <v>0</v>
      </c>
      <c r="I109" s="61" t="s">
        <v>24</v>
      </c>
      <c r="J109" s="48"/>
      <c r="K109" s="46"/>
      <c r="L109" s="49"/>
    </row>
    <row r="110" spans="1:12">
      <c r="A110" s="50"/>
      <c r="B110" s="62"/>
      <c r="C110" s="63"/>
      <c r="D110" s="53"/>
      <c r="E110" s="51"/>
      <c r="F110" s="52"/>
      <c r="G110" s="53"/>
      <c r="H110" s="51"/>
      <c r="I110" s="52"/>
      <c r="J110" s="53"/>
      <c r="K110" s="51"/>
      <c r="L110" s="52"/>
    </row>
    <row r="111" spans="1:12">
      <c r="A111" s="50" t="s">
        <v>119</v>
      </c>
      <c r="B111" s="62">
        <f>SUM(B103:B110)</f>
        <v>615</v>
      </c>
      <c r="C111" s="67"/>
      <c r="D111" s="50" t="s">
        <v>119</v>
      </c>
      <c r="E111" s="62">
        <f>SUM(E103:E110)</f>
        <v>15</v>
      </c>
      <c r="F111" s="67"/>
      <c r="G111" s="50" t="s">
        <v>119</v>
      </c>
      <c r="H111" s="62">
        <f>SUM(H103:H110)</f>
        <v>250</v>
      </c>
      <c r="I111" s="67"/>
      <c r="J111" s="50" t="s">
        <v>119</v>
      </c>
      <c r="K111" s="62">
        <f>SUM(K103:K110)</f>
        <v>2100</v>
      </c>
      <c r="L111" s="63" t="s">
        <v>24</v>
      </c>
    </row>
    <row r="113" spans="1:12">
      <c r="A113" s="54" t="s">
        <v>25</v>
      </c>
      <c r="B113" s="55"/>
      <c r="C113" s="56" t="s">
        <v>118</v>
      </c>
      <c r="D113" s="55"/>
      <c r="E113" s="55"/>
      <c r="F113" s="55"/>
      <c r="G113" s="55"/>
      <c r="H113" s="55"/>
      <c r="I113" s="55"/>
      <c r="J113" s="55"/>
      <c r="K113" s="55"/>
      <c r="L113" s="57"/>
    </row>
    <row r="114" spans="1:12">
      <c r="A114" s="58" t="s">
        <v>90</v>
      </c>
      <c r="B114" s="59"/>
      <c r="C114" s="60"/>
      <c r="D114" s="58" t="s">
        <v>91</v>
      </c>
      <c r="E114" s="59"/>
      <c r="F114" s="60"/>
      <c r="G114" s="58" t="s">
        <v>92</v>
      </c>
      <c r="H114" s="59"/>
      <c r="I114" s="60"/>
      <c r="J114" s="58" t="s">
        <v>93</v>
      </c>
      <c r="K114" s="59"/>
      <c r="L114" s="60"/>
    </row>
    <row r="115" spans="1:12">
      <c r="A115" s="48" t="s">
        <v>99</v>
      </c>
      <c r="B115" s="46">
        <v>220</v>
      </c>
      <c r="C115" s="61" t="s">
        <v>24</v>
      </c>
      <c r="D115" s="48" t="s">
        <v>100</v>
      </c>
      <c r="E115" s="46">
        <v>30</v>
      </c>
      <c r="F115" s="61" t="s">
        <v>24</v>
      </c>
      <c r="G115" s="48" t="s">
        <v>101</v>
      </c>
      <c r="H115" s="46">
        <v>40</v>
      </c>
      <c r="I115" s="61" t="s">
        <v>24</v>
      </c>
      <c r="J115" s="48" t="s">
        <v>102</v>
      </c>
      <c r="K115" s="46">
        <v>515</v>
      </c>
      <c r="L115" s="61" t="s">
        <v>24</v>
      </c>
    </row>
    <row r="116" spans="1:12">
      <c r="A116" s="48" t="s">
        <v>103</v>
      </c>
      <c r="B116" s="46">
        <v>10</v>
      </c>
      <c r="C116" s="61" t="s">
        <v>24</v>
      </c>
      <c r="D116" s="48" t="s">
        <v>104</v>
      </c>
      <c r="E116" s="46">
        <v>10</v>
      </c>
      <c r="F116" s="61" t="s">
        <v>24</v>
      </c>
      <c r="G116" s="48" t="s">
        <v>105</v>
      </c>
      <c r="H116" s="46">
        <v>15</v>
      </c>
      <c r="I116" s="61" t="s">
        <v>24</v>
      </c>
      <c r="J116" s="48"/>
      <c r="K116" s="46"/>
      <c r="L116" s="61"/>
    </row>
    <row r="117" spans="1:12">
      <c r="A117" s="48" t="s">
        <v>106</v>
      </c>
      <c r="B117" s="46">
        <v>180</v>
      </c>
      <c r="C117" s="61" t="s">
        <v>24</v>
      </c>
      <c r="D117" s="48" t="s">
        <v>107</v>
      </c>
      <c r="E117" s="46">
        <v>0</v>
      </c>
      <c r="F117" s="61" t="s">
        <v>24</v>
      </c>
      <c r="G117" s="48" t="s">
        <v>108</v>
      </c>
      <c r="H117" s="46">
        <v>0</v>
      </c>
      <c r="I117" s="61" t="s">
        <v>24</v>
      </c>
      <c r="J117" s="48"/>
      <c r="K117" s="46"/>
      <c r="L117" s="61"/>
    </row>
    <row r="118" spans="1:12">
      <c r="A118" s="48" t="s">
        <v>109</v>
      </c>
      <c r="B118" s="46">
        <v>130</v>
      </c>
      <c r="C118" s="61" t="s">
        <v>24</v>
      </c>
      <c r="D118" s="48" t="s">
        <v>110</v>
      </c>
      <c r="E118" s="46">
        <v>0</v>
      </c>
      <c r="F118" s="61" t="s">
        <v>24</v>
      </c>
      <c r="G118" s="48" t="s">
        <v>111</v>
      </c>
      <c r="H118" s="46">
        <v>10</v>
      </c>
      <c r="I118" s="61" t="s">
        <v>24</v>
      </c>
      <c r="J118" s="48"/>
      <c r="K118" s="46"/>
      <c r="L118" s="61"/>
    </row>
    <row r="119" spans="1:12">
      <c r="A119" s="48" t="s">
        <v>112</v>
      </c>
      <c r="B119" s="46">
        <v>200</v>
      </c>
      <c r="C119" s="61" t="s">
        <v>24</v>
      </c>
      <c r="D119" s="48" t="s">
        <v>113</v>
      </c>
      <c r="E119" s="46">
        <v>0</v>
      </c>
      <c r="F119" s="61" t="s">
        <v>24</v>
      </c>
      <c r="J119" s="48"/>
      <c r="K119" s="46"/>
      <c r="L119" s="49"/>
    </row>
    <row r="120" spans="1:12">
      <c r="A120" s="48" t="s">
        <v>114</v>
      </c>
      <c r="B120" s="46">
        <v>0</v>
      </c>
      <c r="C120" s="61" t="s">
        <v>24</v>
      </c>
      <c r="D120" s="48"/>
      <c r="E120" s="46"/>
      <c r="F120" s="49"/>
      <c r="G120" s="48" t="s">
        <v>115</v>
      </c>
      <c r="H120" s="46">
        <v>90</v>
      </c>
      <c r="I120" s="61" t="s">
        <v>24</v>
      </c>
      <c r="J120" s="48"/>
      <c r="K120" s="46"/>
      <c r="L120" s="49"/>
    </row>
    <row r="121" spans="1:12">
      <c r="A121" s="48" t="s">
        <v>116</v>
      </c>
      <c r="B121" s="46">
        <v>0</v>
      </c>
      <c r="C121" s="61" t="s">
        <v>24</v>
      </c>
      <c r="D121" s="48"/>
      <c r="E121" s="46"/>
      <c r="F121" s="49"/>
      <c r="G121" s="48" t="s">
        <v>117</v>
      </c>
      <c r="H121" s="46">
        <v>0</v>
      </c>
      <c r="I121" s="61" t="s">
        <v>24</v>
      </c>
      <c r="J121" s="48"/>
      <c r="K121" s="46"/>
      <c r="L121" s="49"/>
    </row>
    <row r="122" spans="1:12">
      <c r="A122" s="50"/>
      <c r="B122" s="62"/>
      <c r="C122" s="63"/>
      <c r="D122" s="53"/>
      <c r="E122" s="51"/>
      <c r="F122" s="52"/>
      <c r="G122" s="53"/>
      <c r="H122" s="51"/>
      <c r="I122" s="52"/>
      <c r="J122" s="53"/>
      <c r="K122" s="51"/>
      <c r="L122" s="52"/>
    </row>
    <row r="123" spans="1:12">
      <c r="A123" s="50" t="s">
        <v>119</v>
      </c>
      <c r="B123" s="62">
        <f>SUM(B115:B122)</f>
        <v>740</v>
      </c>
      <c r="C123" s="67"/>
      <c r="D123" s="50" t="s">
        <v>119</v>
      </c>
      <c r="E123" s="62">
        <f>SUM(E115:E122)</f>
        <v>40</v>
      </c>
      <c r="F123" s="67"/>
      <c r="G123" s="50" t="s">
        <v>119</v>
      </c>
      <c r="H123" s="62">
        <f>SUM(H115:H122)</f>
        <v>155</v>
      </c>
      <c r="I123" s="67"/>
      <c r="J123" s="50" t="s">
        <v>119</v>
      </c>
      <c r="K123" s="62">
        <f>SUM(K115:K122)</f>
        <v>515</v>
      </c>
      <c r="L123" s="63" t="s">
        <v>24</v>
      </c>
    </row>
    <row r="125" spans="1:12">
      <c r="A125" s="54" t="s">
        <v>26</v>
      </c>
      <c r="B125" s="55"/>
      <c r="C125" s="56" t="s">
        <v>118</v>
      </c>
      <c r="D125" s="55"/>
      <c r="E125" s="55"/>
      <c r="F125" s="55"/>
      <c r="G125" s="55"/>
      <c r="H125" s="55"/>
      <c r="I125" s="55"/>
      <c r="J125" s="55"/>
      <c r="K125" s="55"/>
      <c r="L125" s="57"/>
    </row>
    <row r="126" spans="1:12">
      <c r="A126" s="58" t="s">
        <v>90</v>
      </c>
      <c r="B126" s="59"/>
      <c r="C126" s="60"/>
      <c r="D126" s="58" t="s">
        <v>91</v>
      </c>
      <c r="E126" s="59"/>
      <c r="F126" s="60"/>
      <c r="G126" s="58" t="s">
        <v>92</v>
      </c>
      <c r="H126" s="59"/>
      <c r="I126" s="60"/>
      <c r="J126" s="58" t="s">
        <v>93</v>
      </c>
      <c r="K126" s="59"/>
      <c r="L126" s="60"/>
    </row>
    <row r="127" spans="1:12">
      <c r="A127" s="48" t="s">
        <v>99</v>
      </c>
      <c r="B127" s="46">
        <v>170</v>
      </c>
      <c r="C127" s="61" t="s">
        <v>24</v>
      </c>
      <c r="D127" s="48" t="s">
        <v>100</v>
      </c>
      <c r="E127" s="46">
        <v>190</v>
      </c>
      <c r="F127" s="61" t="s">
        <v>24</v>
      </c>
      <c r="G127" s="48" t="s">
        <v>101</v>
      </c>
      <c r="H127" s="46">
        <v>85</v>
      </c>
      <c r="I127" s="61" t="s">
        <v>24</v>
      </c>
      <c r="J127" s="48" t="s">
        <v>102</v>
      </c>
      <c r="K127" s="46">
        <v>1890</v>
      </c>
      <c r="L127" s="61" t="s">
        <v>24</v>
      </c>
    </row>
    <row r="128" spans="1:12">
      <c r="A128" s="48" t="s">
        <v>103</v>
      </c>
      <c r="B128" s="46">
        <v>65</v>
      </c>
      <c r="C128" s="61" t="s">
        <v>24</v>
      </c>
      <c r="D128" s="48" t="s">
        <v>104</v>
      </c>
      <c r="E128" s="46">
        <v>35</v>
      </c>
      <c r="F128" s="61" t="s">
        <v>24</v>
      </c>
      <c r="G128" s="48" t="s">
        <v>105</v>
      </c>
      <c r="H128" s="46">
        <v>15</v>
      </c>
      <c r="I128" s="61" t="s">
        <v>24</v>
      </c>
      <c r="J128" s="48"/>
      <c r="K128" s="46"/>
      <c r="L128" s="61"/>
    </row>
    <row r="129" spans="1:12">
      <c r="A129" s="48" t="s">
        <v>106</v>
      </c>
      <c r="B129" s="46">
        <v>120</v>
      </c>
      <c r="C129" s="61" t="s">
        <v>24</v>
      </c>
      <c r="D129" s="48" t="s">
        <v>107</v>
      </c>
      <c r="E129" s="46">
        <v>0</v>
      </c>
      <c r="F129" s="61" t="s">
        <v>24</v>
      </c>
      <c r="G129" s="48" t="s">
        <v>108</v>
      </c>
      <c r="H129" s="46">
        <v>0</v>
      </c>
      <c r="I129" s="61" t="s">
        <v>24</v>
      </c>
      <c r="J129" s="48"/>
      <c r="K129" s="46"/>
      <c r="L129" s="61"/>
    </row>
    <row r="130" spans="1:12">
      <c r="A130" s="48" t="s">
        <v>109</v>
      </c>
      <c r="B130" s="46">
        <v>530</v>
      </c>
      <c r="C130" s="61" t="s">
        <v>24</v>
      </c>
      <c r="D130" s="48" t="s">
        <v>110</v>
      </c>
      <c r="E130" s="46">
        <v>0</v>
      </c>
      <c r="F130" s="61" t="s">
        <v>24</v>
      </c>
      <c r="G130" s="48" t="s">
        <v>111</v>
      </c>
      <c r="H130" s="46">
        <v>25</v>
      </c>
      <c r="I130" s="61" t="s">
        <v>24</v>
      </c>
      <c r="J130" s="48"/>
      <c r="K130" s="46"/>
      <c r="L130" s="61"/>
    </row>
    <row r="131" spans="1:12">
      <c r="A131" s="48" t="s">
        <v>112</v>
      </c>
      <c r="B131" s="46">
        <v>200</v>
      </c>
      <c r="C131" s="61" t="s">
        <v>24</v>
      </c>
      <c r="D131" s="48" t="s">
        <v>113</v>
      </c>
      <c r="E131" s="46">
        <v>0</v>
      </c>
      <c r="F131" s="61" t="s">
        <v>24</v>
      </c>
      <c r="J131" s="48"/>
      <c r="K131" s="46"/>
      <c r="L131" s="49"/>
    </row>
    <row r="132" spans="1:12">
      <c r="A132" s="48" t="s">
        <v>114</v>
      </c>
      <c r="B132" s="46">
        <v>15</v>
      </c>
      <c r="C132" s="61" t="s">
        <v>24</v>
      </c>
      <c r="D132" s="48"/>
      <c r="E132" s="46"/>
      <c r="F132" s="49"/>
      <c r="G132" s="48" t="s">
        <v>115</v>
      </c>
      <c r="H132" s="46">
        <v>170</v>
      </c>
      <c r="I132" s="61" t="s">
        <v>24</v>
      </c>
      <c r="J132" s="48"/>
      <c r="K132" s="46"/>
      <c r="L132" s="49"/>
    </row>
    <row r="133" spans="1:12">
      <c r="A133" s="48" t="s">
        <v>116</v>
      </c>
      <c r="B133" s="46"/>
      <c r="C133" s="61" t="s">
        <v>24</v>
      </c>
      <c r="D133" s="48"/>
      <c r="E133" s="46"/>
      <c r="F133" s="49"/>
      <c r="G133" s="48" t="s">
        <v>117</v>
      </c>
      <c r="H133" s="46">
        <v>0</v>
      </c>
      <c r="I133" s="61" t="s">
        <v>24</v>
      </c>
      <c r="J133" s="48"/>
      <c r="K133" s="46"/>
      <c r="L133" s="49"/>
    </row>
    <row r="134" spans="1:12">
      <c r="A134" s="50"/>
      <c r="B134" s="62"/>
      <c r="C134" s="63"/>
      <c r="D134" s="53"/>
      <c r="E134" s="51"/>
      <c r="F134" s="52"/>
      <c r="G134" s="53"/>
      <c r="H134" s="51"/>
      <c r="I134" s="52"/>
      <c r="J134" s="53"/>
      <c r="K134" s="51"/>
      <c r="L134" s="52"/>
    </row>
    <row r="135" spans="1:12">
      <c r="A135" s="50" t="s">
        <v>119</v>
      </c>
      <c r="B135" s="62">
        <f>SUM(B127:B134)</f>
        <v>1100</v>
      </c>
      <c r="C135" s="67"/>
      <c r="D135" s="50" t="s">
        <v>119</v>
      </c>
      <c r="E135" s="62">
        <f>SUM(E127:E134)</f>
        <v>225</v>
      </c>
      <c r="F135" s="67"/>
      <c r="G135" s="50" t="s">
        <v>119</v>
      </c>
      <c r="H135" s="62">
        <f>SUM(H127:H134)</f>
        <v>295</v>
      </c>
      <c r="I135" s="67"/>
      <c r="J135" s="50" t="s">
        <v>119</v>
      </c>
      <c r="K135" s="62">
        <f>SUM(K127:K134)</f>
        <v>1890</v>
      </c>
      <c r="L135" s="63" t="s">
        <v>24</v>
      </c>
    </row>
    <row r="137" spans="1:12">
      <c r="A137" s="54" t="s">
        <v>12</v>
      </c>
      <c r="B137" s="55"/>
      <c r="C137" s="56" t="s">
        <v>118</v>
      </c>
      <c r="D137" s="55"/>
      <c r="E137" s="55"/>
      <c r="F137" s="55"/>
      <c r="G137" s="55"/>
      <c r="H137" s="55"/>
      <c r="I137" s="55"/>
      <c r="J137" s="55"/>
      <c r="K137" s="55"/>
      <c r="L137" s="57"/>
    </row>
    <row r="138" spans="1:12">
      <c r="A138" s="58" t="s">
        <v>90</v>
      </c>
      <c r="B138" s="59"/>
      <c r="C138" s="60"/>
      <c r="D138" s="58" t="s">
        <v>91</v>
      </c>
      <c r="E138" s="59"/>
      <c r="F138" s="60"/>
      <c r="G138" s="58" t="s">
        <v>92</v>
      </c>
      <c r="H138" s="59"/>
      <c r="I138" s="60"/>
      <c r="J138" s="58" t="s">
        <v>93</v>
      </c>
      <c r="K138" s="59"/>
      <c r="L138" s="60"/>
    </row>
    <row r="139" spans="1:12">
      <c r="A139" s="48" t="s">
        <v>99</v>
      </c>
      <c r="B139" s="46">
        <v>205</v>
      </c>
      <c r="C139" s="61" t="s">
        <v>24</v>
      </c>
      <c r="D139" s="48" t="s">
        <v>100</v>
      </c>
      <c r="E139" s="46">
        <v>0</v>
      </c>
      <c r="F139" s="61" t="s">
        <v>24</v>
      </c>
      <c r="G139" s="48" t="s">
        <v>101</v>
      </c>
      <c r="H139" s="46">
        <v>100</v>
      </c>
      <c r="I139" s="61" t="s">
        <v>24</v>
      </c>
      <c r="J139" s="48" t="s">
        <v>102</v>
      </c>
      <c r="K139" s="46">
        <v>780</v>
      </c>
      <c r="L139" s="61" t="s">
        <v>24</v>
      </c>
    </row>
    <row r="140" spans="1:12">
      <c r="A140" s="48" t="s">
        <v>103</v>
      </c>
      <c r="B140" s="46">
        <v>10</v>
      </c>
      <c r="C140" s="61" t="s">
        <v>24</v>
      </c>
      <c r="D140" s="48" t="s">
        <v>104</v>
      </c>
      <c r="E140" s="46">
        <v>20</v>
      </c>
      <c r="F140" s="61" t="s">
        <v>24</v>
      </c>
      <c r="G140" s="48" t="s">
        <v>105</v>
      </c>
      <c r="H140" s="46">
        <v>10</v>
      </c>
      <c r="I140" s="61" t="s">
        <v>24</v>
      </c>
      <c r="J140" s="48"/>
      <c r="K140" s="46"/>
      <c r="L140" s="61"/>
    </row>
    <row r="141" spans="1:12">
      <c r="A141" s="48" t="s">
        <v>106</v>
      </c>
      <c r="B141" s="46">
        <v>0</v>
      </c>
      <c r="C141" s="61" t="s">
        <v>24</v>
      </c>
      <c r="D141" s="48" t="s">
        <v>107</v>
      </c>
      <c r="E141" s="46">
        <v>0</v>
      </c>
      <c r="F141" s="61" t="s">
        <v>24</v>
      </c>
      <c r="G141" s="48" t="s">
        <v>108</v>
      </c>
      <c r="H141" s="46">
        <v>0</v>
      </c>
      <c r="I141" s="61" t="s">
        <v>24</v>
      </c>
      <c r="J141" s="48"/>
      <c r="K141" s="46"/>
      <c r="L141" s="61"/>
    </row>
    <row r="142" spans="1:12">
      <c r="A142" s="48" t="s">
        <v>109</v>
      </c>
      <c r="B142" s="46">
        <v>115</v>
      </c>
      <c r="C142" s="61" t="s">
        <v>24</v>
      </c>
      <c r="D142" s="48" t="s">
        <v>110</v>
      </c>
      <c r="E142" s="46">
        <v>10</v>
      </c>
      <c r="F142" s="61" t="s">
        <v>24</v>
      </c>
      <c r="G142" s="48" t="s">
        <v>111</v>
      </c>
      <c r="H142" s="46">
        <v>0</v>
      </c>
      <c r="I142" s="61" t="s">
        <v>24</v>
      </c>
      <c r="J142" s="48"/>
      <c r="K142" s="46"/>
      <c r="L142" s="61"/>
    </row>
    <row r="143" spans="1:12">
      <c r="A143" s="48" t="s">
        <v>112</v>
      </c>
      <c r="B143" s="46">
        <v>75</v>
      </c>
      <c r="C143" s="61" t="s">
        <v>24</v>
      </c>
      <c r="D143" s="48" t="s">
        <v>113</v>
      </c>
      <c r="E143" s="46">
        <v>10</v>
      </c>
      <c r="F143" s="61" t="s">
        <v>24</v>
      </c>
      <c r="J143" s="48"/>
      <c r="K143" s="46"/>
      <c r="L143" s="49"/>
    </row>
    <row r="144" spans="1:12">
      <c r="A144" s="48" t="s">
        <v>114</v>
      </c>
      <c r="B144" s="46">
        <v>40</v>
      </c>
      <c r="C144" s="61" t="s">
        <v>24</v>
      </c>
      <c r="D144" s="48"/>
      <c r="E144" s="46"/>
      <c r="F144" s="49"/>
      <c r="G144" s="48" t="s">
        <v>115</v>
      </c>
      <c r="H144" s="46">
        <v>0</v>
      </c>
      <c r="I144" s="61" t="s">
        <v>24</v>
      </c>
      <c r="J144" s="48"/>
      <c r="K144" s="46"/>
      <c r="L144" s="49"/>
    </row>
    <row r="145" spans="1:12">
      <c r="A145" s="48" t="s">
        <v>116</v>
      </c>
      <c r="B145" s="46">
        <v>0</v>
      </c>
      <c r="C145" s="61" t="s">
        <v>24</v>
      </c>
      <c r="D145" s="48"/>
      <c r="E145" s="46"/>
      <c r="F145" s="49"/>
      <c r="G145" s="48" t="s">
        <v>117</v>
      </c>
      <c r="H145" s="46">
        <v>0</v>
      </c>
      <c r="I145" s="61" t="s">
        <v>24</v>
      </c>
      <c r="J145" s="48"/>
      <c r="K145" s="46"/>
      <c r="L145" s="49"/>
    </row>
    <row r="146" spans="1:12">
      <c r="A146" s="50" t="s">
        <v>152</v>
      </c>
      <c r="B146" s="62">
        <v>167</v>
      </c>
      <c r="C146" s="63" t="s">
        <v>24</v>
      </c>
      <c r="D146" s="53"/>
      <c r="E146" s="51"/>
      <c r="F146" s="52"/>
      <c r="G146" s="53"/>
      <c r="H146" s="51"/>
      <c r="I146" s="52"/>
      <c r="J146" s="53"/>
      <c r="K146" s="51"/>
      <c r="L146" s="52"/>
    </row>
    <row r="147" spans="1:12">
      <c r="A147" s="50" t="s">
        <v>119</v>
      </c>
      <c r="B147" s="62">
        <f>SUM(B139:B146)</f>
        <v>612</v>
      </c>
      <c r="C147" s="67"/>
      <c r="D147" s="50" t="s">
        <v>119</v>
      </c>
      <c r="E147" s="62">
        <f>SUM(E139:E146)</f>
        <v>40</v>
      </c>
      <c r="F147" s="67"/>
      <c r="G147" s="50" t="s">
        <v>119</v>
      </c>
      <c r="H147" s="62">
        <f>SUM(H139:H146)</f>
        <v>110</v>
      </c>
      <c r="I147" s="67"/>
      <c r="J147" s="50" t="s">
        <v>119</v>
      </c>
      <c r="K147" s="62">
        <f>SUM(K139:K146)</f>
        <v>780</v>
      </c>
      <c r="L147" s="63" t="s">
        <v>24</v>
      </c>
    </row>
  </sheetData>
  <mergeCells count="5">
    <mergeCell ref="A5:J5"/>
    <mergeCell ref="A8:C8"/>
    <mergeCell ref="D8:F8"/>
    <mergeCell ref="G8:I8"/>
    <mergeCell ref="J8:L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topLeftCell="A7" workbookViewId="0">
      <selection activeCell="J6" sqref="J6"/>
    </sheetView>
  </sheetViews>
  <sheetFormatPr defaultRowHeight="15"/>
  <cols>
    <col min="1" max="1" width="18.5703125" customWidth="1"/>
    <col min="7" max="7" width="10" customWidth="1"/>
  </cols>
  <sheetData>
    <row r="1" spans="1:12">
      <c r="A1" s="66" t="s">
        <v>77</v>
      </c>
    </row>
    <row r="2" spans="1:12" ht="60">
      <c r="A2" s="9" t="s">
        <v>27</v>
      </c>
      <c r="B2" s="10"/>
      <c r="C2" s="10" t="s">
        <v>4</v>
      </c>
      <c r="D2" s="10" t="s">
        <v>5</v>
      </c>
      <c r="E2" s="10" t="s">
        <v>6</v>
      </c>
      <c r="F2" s="10" t="s">
        <v>7</v>
      </c>
      <c r="G2" s="10" t="s">
        <v>28</v>
      </c>
      <c r="H2" s="10" t="s">
        <v>9</v>
      </c>
      <c r="I2" s="10" t="s">
        <v>29</v>
      </c>
      <c r="J2" s="10" t="s">
        <v>11</v>
      </c>
      <c r="K2" s="10" t="s">
        <v>12</v>
      </c>
      <c r="L2" s="10" t="s">
        <v>30</v>
      </c>
    </row>
    <row r="3" spans="1:12">
      <c r="A3" t="s">
        <v>31</v>
      </c>
      <c r="C3" s="11">
        <v>98</v>
      </c>
      <c r="D3" s="11">
        <v>140</v>
      </c>
      <c r="E3" s="35">
        <v>202</v>
      </c>
      <c r="F3" s="11">
        <v>82</v>
      </c>
      <c r="G3" s="11">
        <v>159</v>
      </c>
      <c r="H3" s="11">
        <v>171</v>
      </c>
      <c r="I3" s="11">
        <v>88</v>
      </c>
      <c r="J3" s="11">
        <f>85+113</f>
        <v>198</v>
      </c>
      <c r="K3" s="11">
        <v>58</v>
      </c>
      <c r="L3" s="11">
        <f t="shared" ref="L3:L8" si="0">SUM(C3:K3)</f>
        <v>1196</v>
      </c>
    </row>
    <row r="4" spans="1:12">
      <c r="A4" s="10" t="s">
        <v>32</v>
      </c>
      <c r="C4" s="11">
        <v>0</v>
      </c>
      <c r="D4" s="11">
        <f>(106)/2</f>
        <v>53</v>
      </c>
      <c r="E4" s="11">
        <v>0</v>
      </c>
      <c r="F4" s="11">
        <v>0</v>
      </c>
      <c r="G4" s="11">
        <v>0</v>
      </c>
      <c r="H4" s="11">
        <v>25</v>
      </c>
      <c r="I4" s="11">
        <v>10</v>
      </c>
      <c r="J4" s="11">
        <f>1/2</f>
        <v>0.5</v>
      </c>
      <c r="K4" s="11">
        <f>(47)/2</f>
        <v>23.5</v>
      </c>
      <c r="L4" s="11">
        <f t="shared" si="0"/>
        <v>112</v>
      </c>
    </row>
    <row r="5" spans="1:12">
      <c r="A5" t="s">
        <v>33</v>
      </c>
      <c r="C5" s="11">
        <v>7</v>
      </c>
      <c r="D5" s="11">
        <v>4</v>
      </c>
      <c r="E5" s="11">
        <v>28</v>
      </c>
      <c r="F5" s="11">
        <v>4</v>
      </c>
      <c r="G5" s="11">
        <v>28</v>
      </c>
      <c r="H5" s="11">
        <v>3</v>
      </c>
      <c r="I5" s="11">
        <v>3</v>
      </c>
      <c r="J5" s="11">
        <f>1+1</f>
        <v>2</v>
      </c>
      <c r="K5" s="11">
        <v>0</v>
      </c>
      <c r="L5" s="11">
        <f t="shared" si="0"/>
        <v>79</v>
      </c>
    </row>
    <row r="6" spans="1:12">
      <c r="A6" t="s">
        <v>34</v>
      </c>
      <c r="C6" s="11">
        <v>14</v>
      </c>
      <c r="D6" s="11">
        <v>52</v>
      </c>
      <c r="E6" s="11">
        <v>116</v>
      </c>
      <c r="F6" s="11">
        <v>25</v>
      </c>
      <c r="G6" s="11">
        <v>38</v>
      </c>
      <c r="H6" s="11">
        <v>41</v>
      </c>
      <c r="I6" s="11">
        <v>69</v>
      </c>
      <c r="J6" s="11">
        <f>10+17</f>
        <v>27</v>
      </c>
      <c r="K6" s="11">
        <v>14</v>
      </c>
      <c r="L6" s="11">
        <f t="shared" si="0"/>
        <v>396</v>
      </c>
    </row>
    <row r="7" spans="1:12">
      <c r="A7" t="s">
        <v>35</v>
      </c>
      <c r="C7" s="11">
        <f>1*24</f>
        <v>24</v>
      </c>
      <c r="D7" s="11">
        <f>1*24</f>
        <v>24</v>
      </c>
      <c r="E7" s="11">
        <f>3*24</f>
        <v>72</v>
      </c>
      <c r="F7" s="11">
        <f>1*24</f>
        <v>24</v>
      </c>
      <c r="G7" s="11">
        <f>2*24</f>
        <v>48</v>
      </c>
      <c r="H7" s="11">
        <f>2*24</f>
        <v>48</v>
      </c>
      <c r="I7" s="11">
        <f>1*24</f>
        <v>24</v>
      </c>
      <c r="J7" s="11">
        <v>0</v>
      </c>
      <c r="K7" s="11">
        <f>1*24</f>
        <v>24</v>
      </c>
      <c r="L7" s="11">
        <f t="shared" si="0"/>
        <v>288</v>
      </c>
    </row>
    <row r="8" spans="1:12">
      <c r="A8" t="s">
        <v>36</v>
      </c>
      <c r="C8" s="11">
        <v>0</v>
      </c>
      <c r="D8" s="11">
        <v>0</v>
      </c>
      <c r="E8" s="11">
        <f>1*8</f>
        <v>8</v>
      </c>
      <c r="F8" s="11">
        <v>8</v>
      </c>
      <c r="G8" s="11">
        <f>1*8</f>
        <v>8</v>
      </c>
      <c r="H8" s="11">
        <v>8</v>
      </c>
      <c r="I8" s="11">
        <v>8</v>
      </c>
      <c r="J8" s="11">
        <v>0</v>
      </c>
      <c r="K8" s="11">
        <v>0</v>
      </c>
      <c r="L8" s="11">
        <f t="shared" si="0"/>
        <v>40</v>
      </c>
    </row>
    <row r="9" spans="1:12">
      <c r="A9" t="s">
        <v>3</v>
      </c>
      <c r="C9" s="11">
        <f t="shared" ref="C9:K9" si="1">SUM(C3:C8)</f>
        <v>143</v>
      </c>
      <c r="D9" s="11">
        <f t="shared" si="1"/>
        <v>273</v>
      </c>
      <c r="E9" s="11">
        <f t="shared" si="1"/>
        <v>426</v>
      </c>
      <c r="F9" s="11">
        <f t="shared" si="1"/>
        <v>143</v>
      </c>
      <c r="G9" s="11">
        <f t="shared" si="1"/>
        <v>281</v>
      </c>
      <c r="H9" s="11">
        <f t="shared" si="1"/>
        <v>296</v>
      </c>
      <c r="I9" s="11">
        <f t="shared" si="1"/>
        <v>202</v>
      </c>
      <c r="J9" s="11">
        <f t="shared" si="1"/>
        <v>227.5</v>
      </c>
      <c r="K9" s="11">
        <f t="shared" si="1"/>
        <v>119.5</v>
      </c>
      <c r="L9" s="11">
        <f>SUM(L3:L8)</f>
        <v>2111</v>
      </c>
    </row>
    <row r="11" spans="1:12" ht="60">
      <c r="A11" s="10" t="s">
        <v>82</v>
      </c>
      <c r="C11" s="11">
        <f>C9*1</f>
        <v>143</v>
      </c>
      <c r="D11" s="11">
        <f>D9*1.1</f>
        <v>300.3</v>
      </c>
      <c r="E11" s="11">
        <f>E9*1.2</f>
        <v>511.2</v>
      </c>
      <c r="F11" s="11">
        <f>F9*1.1</f>
        <v>157.30000000000001</v>
      </c>
      <c r="G11" s="11">
        <f>G9*1.2</f>
        <v>337.2</v>
      </c>
      <c r="H11" s="11">
        <f>H9*1.1</f>
        <v>325.60000000000002</v>
      </c>
      <c r="I11" s="11">
        <f>I9*1.1</f>
        <v>222.20000000000002</v>
      </c>
      <c r="J11" s="11">
        <f>J9*1</f>
        <v>227.5</v>
      </c>
      <c r="K11" s="11">
        <f>K9*1</f>
        <v>119.5</v>
      </c>
      <c r="L11" s="11">
        <f>SUM(C11:K11)</f>
        <v>2343.8000000000002</v>
      </c>
    </row>
    <row r="12" spans="1:12">
      <c r="A12" t="s">
        <v>38</v>
      </c>
    </row>
    <row r="13" spans="1:12">
      <c r="A13" t="s">
        <v>39</v>
      </c>
    </row>
    <row r="14" spans="1:12">
      <c r="A14" t="s">
        <v>40</v>
      </c>
    </row>
    <row r="18" spans="1:12">
      <c r="A18" t="s">
        <v>58</v>
      </c>
    </row>
    <row r="19" spans="1:12" ht="60">
      <c r="A19" s="9" t="s">
        <v>27</v>
      </c>
      <c r="B19" s="10"/>
      <c r="C19" s="10" t="s">
        <v>4</v>
      </c>
      <c r="D19" s="10" t="s">
        <v>5</v>
      </c>
      <c r="E19" s="10" t="s">
        <v>6</v>
      </c>
      <c r="F19" s="10" t="s">
        <v>7</v>
      </c>
      <c r="G19" s="10" t="s">
        <v>28</v>
      </c>
      <c r="H19" s="10" t="s">
        <v>9</v>
      </c>
      <c r="I19" s="10" t="s">
        <v>29</v>
      </c>
      <c r="J19" s="10" t="s">
        <v>11</v>
      </c>
      <c r="K19" s="10" t="s">
        <v>12</v>
      </c>
      <c r="L19" s="10" t="s">
        <v>30</v>
      </c>
    </row>
    <row r="20" spans="1:12">
      <c r="A20" t="s">
        <v>31</v>
      </c>
      <c r="C20" s="11">
        <v>122</v>
      </c>
      <c r="D20" s="11">
        <v>140</v>
      </c>
      <c r="E20" s="11">
        <v>139</v>
      </c>
      <c r="F20" s="11">
        <v>79</v>
      </c>
      <c r="G20" s="11">
        <v>137</v>
      </c>
      <c r="H20" s="11">
        <v>134</v>
      </c>
      <c r="I20" s="11">
        <v>100</v>
      </c>
      <c r="J20" s="11">
        <f>83+111</f>
        <v>194</v>
      </c>
      <c r="K20" s="11">
        <v>89</v>
      </c>
      <c r="L20" s="11">
        <f t="shared" ref="L20:L25" si="2">SUM(C20:K20)</f>
        <v>1134</v>
      </c>
    </row>
    <row r="21" spans="1:12">
      <c r="A21" s="10" t="s">
        <v>32</v>
      </c>
      <c r="C21" s="11">
        <f>(9)/2</f>
        <v>4.5</v>
      </c>
      <c r="D21" s="11">
        <f>(106)/2</f>
        <v>53</v>
      </c>
      <c r="E21" s="11">
        <v>0</v>
      </c>
      <c r="F21" s="11">
        <f>(1)/2</f>
        <v>0.5</v>
      </c>
      <c r="G21" s="11">
        <f>(2)/2</f>
        <v>1</v>
      </c>
      <c r="H21" s="11">
        <f>(45)/2</f>
        <v>22.5</v>
      </c>
      <c r="I21" s="11">
        <f>(21)/2</f>
        <v>10.5</v>
      </c>
      <c r="J21" s="11">
        <f>1/2</f>
        <v>0.5</v>
      </c>
      <c r="K21" s="11">
        <f>(47)/2</f>
        <v>23.5</v>
      </c>
      <c r="L21" s="11">
        <f t="shared" si="2"/>
        <v>116</v>
      </c>
    </row>
    <row r="22" spans="1:12">
      <c r="A22" t="s">
        <v>33</v>
      </c>
      <c r="C22" s="11">
        <v>2</v>
      </c>
      <c r="D22" s="11">
        <v>4</v>
      </c>
      <c r="E22" s="11">
        <v>41</v>
      </c>
      <c r="F22" s="11">
        <v>2</v>
      </c>
      <c r="G22" s="11">
        <v>27</v>
      </c>
      <c r="H22" s="11">
        <v>2</v>
      </c>
      <c r="I22" s="11">
        <v>7</v>
      </c>
      <c r="J22" s="11">
        <f>1+1</f>
        <v>2</v>
      </c>
      <c r="K22" s="11">
        <v>0</v>
      </c>
      <c r="L22" s="11">
        <f t="shared" si="2"/>
        <v>87</v>
      </c>
    </row>
    <row r="23" spans="1:12">
      <c r="A23" t="s">
        <v>34</v>
      </c>
      <c r="C23" s="11">
        <v>21</v>
      </c>
      <c r="D23" s="11">
        <v>52</v>
      </c>
      <c r="E23" s="11">
        <v>86</v>
      </c>
      <c r="F23" s="11">
        <v>23</v>
      </c>
      <c r="G23" s="11">
        <v>73</v>
      </c>
      <c r="H23" s="11">
        <v>42</v>
      </c>
      <c r="I23" s="11">
        <v>58</v>
      </c>
      <c r="J23" s="11">
        <f>11+9</f>
        <v>20</v>
      </c>
      <c r="K23" s="11">
        <v>16</v>
      </c>
      <c r="L23" s="11">
        <f t="shared" si="2"/>
        <v>391</v>
      </c>
    </row>
    <row r="24" spans="1:12">
      <c r="A24" t="s">
        <v>35</v>
      </c>
      <c r="C24" s="11">
        <f>1*24</f>
        <v>24</v>
      </c>
      <c r="D24" s="11">
        <f>1*24</f>
        <v>24</v>
      </c>
      <c r="E24" s="11">
        <f>3*24</f>
        <v>72</v>
      </c>
      <c r="F24" s="11">
        <f>1*24</f>
        <v>24</v>
      </c>
      <c r="G24" s="11">
        <f>2*24</f>
        <v>48</v>
      </c>
      <c r="H24" s="11">
        <f>2*24</f>
        <v>48</v>
      </c>
      <c r="I24" s="11">
        <f>1*24</f>
        <v>24</v>
      </c>
      <c r="J24" s="11">
        <v>0</v>
      </c>
      <c r="K24" s="11">
        <f>1*24</f>
        <v>24</v>
      </c>
      <c r="L24" s="11">
        <f t="shared" si="2"/>
        <v>288</v>
      </c>
    </row>
    <row r="25" spans="1:12">
      <c r="A25" t="s">
        <v>36</v>
      </c>
      <c r="C25" s="11">
        <v>0</v>
      </c>
      <c r="D25" s="11">
        <v>0</v>
      </c>
      <c r="E25" s="11">
        <f>1*8</f>
        <v>8</v>
      </c>
      <c r="F25" s="11">
        <v>0</v>
      </c>
      <c r="G25" s="11">
        <f>1*8</f>
        <v>8</v>
      </c>
      <c r="H25" s="11">
        <v>0</v>
      </c>
      <c r="I25" s="11">
        <v>0</v>
      </c>
      <c r="J25" s="11">
        <v>0</v>
      </c>
      <c r="K25" s="11">
        <v>0</v>
      </c>
      <c r="L25" s="11">
        <f t="shared" si="2"/>
        <v>16</v>
      </c>
    </row>
    <row r="26" spans="1:12">
      <c r="A26" t="s">
        <v>3</v>
      </c>
      <c r="C26" s="11">
        <f t="shared" ref="C26:K26" si="3">SUM(C20:C25)</f>
        <v>173.5</v>
      </c>
      <c r="D26" s="11">
        <f t="shared" si="3"/>
        <v>273</v>
      </c>
      <c r="E26" s="11">
        <f t="shared" si="3"/>
        <v>346</v>
      </c>
      <c r="F26" s="11">
        <f t="shared" si="3"/>
        <v>128.5</v>
      </c>
      <c r="G26" s="11">
        <f t="shared" si="3"/>
        <v>294</v>
      </c>
      <c r="H26" s="11">
        <f t="shared" si="3"/>
        <v>248.5</v>
      </c>
      <c r="I26" s="11">
        <f t="shared" si="3"/>
        <v>199.5</v>
      </c>
      <c r="J26" s="11">
        <f t="shared" si="3"/>
        <v>216.5</v>
      </c>
      <c r="K26" s="11">
        <f t="shared" si="3"/>
        <v>152.5</v>
      </c>
      <c r="L26" s="11">
        <f>SUM(L20:L25)</f>
        <v>2032</v>
      </c>
    </row>
    <row r="28" spans="1:12" ht="45.75" customHeight="1">
      <c r="A28" s="10" t="s">
        <v>37</v>
      </c>
      <c r="C28" s="11">
        <f>C26*1</f>
        <v>173.5</v>
      </c>
      <c r="D28" s="11">
        <f>D26*1.1</f>
        <v>300.3</v>
      </c>
      <c r="E28" s="11">
        <f>E26*1.2</f>
        <v>415.2</v>
      </c>
      <c r="F28" s="11">
        <f>F26*1.1</f>
        <v>141.35000000000002</v>
      </c>
      <c r="G28" s="11">
        <f>G26*1.2</f>
        <v>352.8</v>
      </c>
      <c r="H28" s="11">
        <f>H26*1.1</f>
        <v>273.35000000000002</v>
      </c>
      <c r="I28" s="11">
        <f>I26*1.1</f>
        <v>219.45000000000002</v>
      </c>
      <c r="J28" s="11">
        <f>J26*1</f>
        <v>216.5</v>
      </c>
      <c r="K28" s="11">
        <f>K26*1.1</f>
        <v>167.75</v>
      </c>
      <c r="L28" s="11">
        <f>SUM(C28:K28)</f>
        <v>2260.1999999999998</v>
      </c>
    </row>
    <row r="29" spans="1:12">
      <c r="A29" t="s">
        <v>38</v>
      </c>
    </row>
    <row r="30" spans="1:12">
      <c r="A30" t="s">
        <v>39</v>
      </c>
    </row>
    <row r="31" spans="1:12">
      <c r="A31" t="s">
        <v>40</v>
      </c>
    </row>
    <row r="34" spans="1:15">
      <c r="A34" s="2" t="s">
        <v>59</v>
      </c>
    </row>
    <row r="35" spans="1:15" ht="60">
      <c r="A35" s="9" t="s">
        <v>27</v>
      </c>
      <c r="B35" s="10"/>
      <c r="C35" s="10" t="s">
        <v>4</v>
      </c>
      <c r="D35" s="10" t="s">
        <v>5</v>
      </c>
      <c r="E35" s="10" t="s">
        <v>6</v>
      </c>
      <c r="F35" s="10" t="s">
        <v>7</v>
      </c>
      <c r="G35" s="10" t="s">
        <v>28</v>
      </c>
      <c r="H35" s="10" t="s">
        <v>9</v>
      </c>
      <c r="I35" s="10" t="s">
        <v>29</v>
      </c>
      <c r="J35" s="10" t="s">
        <v>11</v>
      </c>
      <c r="K35" s="10" t="s">
        <v>12</v>
      </c>
      <c r="L35" s="10" t="s">
        <v>30</v>
      </c>
      <c r="M35" s="10"/>
      <c r="N35" s="10"/>
      <c r="O35" s="10"/>
    </row>
    <row r="36" spans="1:15">
      <c r="A36" t="s">
        <v>31</v>
      </c>
      <c r="C36" s="11">
        <v>112</v>
      </c>
      <c r="D36" s="11">
        <v>122</v>
      </c>
      <c r="E36" s="11">
        <v>134</v>
      </c>
      <c r="F36" s="11">
        <v>85</v>
      </c>
      <c r="G36" s="11">
        <v>145</v>
      </c>
      <c r="H36" s="11">
        <v>121</v>
      </c>
      <c r="I36" s="11">
        <v>101</v>
      </c>
      <c r="J36" s="11">
        <f>90+114</f>
        <v>204</v>
      </c>
      <c r="K36" s="11">
        <v>63</v>
      </c>
      <c r="L36" s="11">
        <f t="shared" ref="L36:L41" si="4">SUM(C36:K36)</f>
        <v>1087</v>
      </c>
    </row>
    <row r="37" spans="1:15">
      <c r="A37" t="s">
        <v>32</v>
      </c>
      <c r="C37" s="11">
        <f>8/2</f>
        <v>4</v>
      </c>
      <c r="D37" s="11">
        <f>109/2</f>
        <v>54.5</v>
      </c>
      <c r="E37" s="11">
        <f>9/2</f>
        <v>4.5</v>
      </c>
      <c r="F37" s="11">
        <f>1/2</f>
        <v>0.5</v>
      </c>
      <c r="G37" s="11">
        <f>2/2</f>
        <v>1</v>
      </c>
      <c r="H37" s="11">
        <f>41/2</f>
        <v>20.5</v>
      </c>
      <c r="I37" s="11">
        <f>20/2</f>
        <v>10</v>
      </c>
      <c r="J37" s="11">
        <f>13/2</f>
        <v>6.5</v>
      </c>
      <c r="K37" s="11">
        <f>24/2</f>
        <v>12</v>
      </c>
      <c r="L37" s="11">
        <f t="shared" si="4"/>
        <v>113.5</v>
      </c>
    </row>
    <row r="38" spans="1:15">
      <c r="A38" t="s">
        <v>33</v>
      </c>
      <c r="C38" s="11">
        <v>1</v>
      </c>
      <c r="D38" s="11">
        <v>5</v>
      </c>
      <c r="E38" s="11">
        <v>25</v>
      </c>
      <c r="F38" s="11">
        <v>3</v>
      </c>
      <c r="G38" s="11">
        <v>28</v>
      </c>
      <c r="H38" s="11">
        <v>3</v>
      </c>
      <c r="I38" s="11">
        <v>4</v>
      </c>
      <c r="J38" s="11">
        <f>3+0</f>
        <v>3</v>
      </c>
      <c r="K38" s="11">
        <v>0</v>
      </c>
      <c r="L38" s="11">
        <f t="shared" si="4"/>
        <v>72</v>
      </c>
    </row>
    <row r="39" spans="1:15">
      <c r="A39" t="s">
        <v>34</v>
      </c>
      <c r="C39" s="11">
        <v>24</v>
      </c>
      <c r="D39" s="11">
        <v>52</v>
      </c>
      <c r="E39" s="11">
        <v>109</v>
      </c>
      <c r="F39" s="11">
        <v>23</v>
      </c>
      <c r="G39" s="11">
        <v>67</v>
      </c>
      <c r="H39" s="11">
        <v>45</v>
      </c>
      <c r="I39" s="11">
        <v>50</v>
      </c>
      <c r="J39" s="11">
        <f>15+13</f>
        <v>28</v>
      </c>
      <c r="K39" s="11">
        <v>25</v>
      </c>
      <c r="L39" s="11">
        <f t="shared" si="4"/>
        <v>423</v>
      </c>
    </row>
    <row r="40" spans="1:15">
      <c r="A40" t="s">
        <v>35</v>
      </c>
      <c r="C40" s="11">
        <f>1*24</f>
        <v>24</v>
      </c>
      <c r="D40" s="11">
        <f>1*24</f>
        <v>24</v>
      </c>
      <c r="E40" s="11">
        <f>3*24</f>
        <v>72</v>
      </c>
      <c r="F40" s="11">
        <f>1*24</f>
        <v>24</v>
      </c>
      <c r="G40" s="11">
        <f>2*24</f>
        <v>48</v>
      </c>
      <c r="H40" s="11">
        <f>2*24</f>
        <v>48</v>
      </c>
      <c r="I40" s="11">
        <f>1*24</f>
        <v>24</v>
      </c>
      <c r="J40" s="11">
        <f>1*24</f>
        <v>24</v>
      </c>
      <c r="K40" s="11">
        <v>0</v>
      </c>
      <c r="L40" s="11">
        <f t="shared" si="4"/>
        <v>288</v>
      </c>
    </row>
    <row r="41" spans="1:15">
      <c r="A41" t="s">
        <v>36</v>
      </c>
      <c r="C41" s="11">
        <v>0</v>
      </c>
      <c r="D41" s="11">
        <f>1*8</f>
        <v>8</v>
      </c>
      <c r="E41" s="11">
        <f>1*8</f>
        <v>8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f t="shared" si="4"/>
        <v>16</v>
      </c>
    </row>
    <row r="42" spans="1:15">
      <c r="A42" t="s">
        <v>3</v>
      </c>
      <c r="C42" s="11">
        <f t="shared" ref="C42:K42" si="5">SUM(C36:C41)</f>
        <v>165</v>
      </c>
      <c r="D42" s="11">
        <f t="shared" si="5"/>
        <v>265.5</v>
      </c>
      <c r="E42" s="11">
        <f t="shared" si="5"/>
        <v>352.5</v>
      </c>
      <c r="F42" s="11">
        <f t="shared" si="5"/>
        <v>135.5</v>
      </c>
      <c r="G42" s="11">
        <f t="shared" si="5"/>
        <v>289</v>
      </c>
      <c r="H42" s="11">
        <f t="shared" si="5"/>
        <v>237.5</v>
      </c>
      <c r="I42" s="11">
        <f t="shared" si="5"/>
        <v>189</v>
      </c>
      <c r="J42" s="11">
        <f t="shared" si="5"/>
        <v>265.5</v>
      </c>
      <c r="K42" s="11">
        <f t="shared" si="5"/>
        <v>100</v>
      </c>
      <c r="L42" s="11">
        <f>SUM(L36:L41)</f>
        <v>1999.5</v>
      </c>
    </row>
    <row r="43" spans="1:15">
      <c r="C43" s="11"/>
      <c r="D43" s="11"/>
      <c r="E43" s="11"/>
      <c r="F43" s="11"/>
      <c r="G43" s="11"/>
      <c r="H43" s="11"/>
      <c r="I43" s="11"/>
      <c r="J43" s="11"/>
      <c r="K43" s="11"/>
      <c r="L43" s="11"/>
    </row>
    <row r="44" spans="1:15">
      <c r="A44" t="s">
        <v>63</v>
      </c>
      <c r="C44" s="11">
        <v>3935</v>
      </c>
      <c r="D44" s="11">
        <v>8163</v>
      </c>
      <c r="E44" s="11">
        <v>15622</v>
      </c>
      <c r="F44" s="11">
        <v>7395</v>
      </c>
      <c r="G44" s="11">
        <v>18530</v>
      </c>
      <c r="H44" s="11">
        <v>8092</v>
      </c>
      <c r="I44" s="11">
        <v>6991</v>
      </c>
      <c r="J44" s="11">
        <f>3160+2386</f>
        <v>5546</v>
      </c>
      <c r="K44" s="11">
        <v>4197</v>
      </c>
      <c r="L44" s="11">
        <f>SUM(C44:K44)</f>
        <v>78471</v>
      </c>
    </row>
    <row r="46" spans="1:15" ht="45">
      <c r="A46" s="10" t="s">
        <v>37</v>
      </c>
      <c r="C46" s="11">
        <f>C42*1</f>
        <v>165</v>
      </c>
      <c r="D46" s="11">
        <f>D42*1.1</f>
        <v>292.05</v>
      </c>
      <c r="E46" s="11">
        <f>E42*1.2</f>
        <v>423</v>
      </c>
      <c r="F46" s="11">
        <f>F42*1.1</f>
        <v>149.05000000000001</v>
      </c>
      <c r="G46" s="11">
        <f>G42*1.2</f>
        <v>346.8</v>
      </c>
      <c r="H46" s="11">
        <f>H42*1.1</f>
        <v>261.25</v>
      </c>
      <c r="I46" s="11">
        <f>I42*1.1</f>
        <v>207.9</v>
      </c>
      <c r="J46" s="11">
        <f>J42*1</f>
        <v>265.5</v>
      </c>
      <c r="K46" s="11">
        <f>K42*1</f>
        <v>100</v>
      </c>
      <c r="L46" s="11">
        <f>SUM(C46:K46)</f>
        <v>2210.5500000000002</v>
      </c>
    </row>
    <row r="47" spans="1:15">
      <c r="A47" t="s">
        <v>60</v>
      </c>
    </row>
    <row r="48" spans="1:15">
      <c r="A48" t="s">
        <v>61</v>
      </c>
    </row>
    <row r="49" spans="1:12">
      <c r="A49" t="s">
        <v>62</v>
      </c>
    </row>
    <row r="52" spans="1:12">
      <c r="A52" t="s">
        <v>67</v>
      </c>
      <c r="C52">
        <f>(C46+C28)/2</f>
        <v>169.25</v>
      </c>
      <c r="D52">
        <f t="shared" ref="D52:L52" si="6">(D46+D28)/2</f>
        <v>296.17500000000001</v>
      </c>
      <c r="E52">
        <f t="shared" si="6"/>
        <v>419.1</v>
      </c>
      <c r="F52">
        <f t="shared" si="6"/>
        <v>145.20000000000002</v>
      </c>
      <c r="G52">
        <f t="shared" si="6"/>
        <v>349.8</v>
      </c>
      <c r="H52">
        <f t="shared" si="6"/>
        <v>267.3</v>
      </c>
      <c r="I52">
        <f t="shared" si="6"/>
        <v>213.67500000000001</v>
      </c>
      <c r="J52">
        <f t="shared" si="6"/>
        <v>241</v>
      </c>
      <c r="K52">
        <f>(K46+K28)/2</f>
        <v>133.875</v>
      </c>
      <c r="L52">
        <f t="shared" si="6"/>
        <v>2235.375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topLeftCell="B1" workbookViewId="0">
      <selection activeCell="J12" sqref="J12"/>
    </sheetView>
  </sheetViews>
  <sheetFormatPr defaultRowHeight="15"/>
  <cols>
    <col min="1" max="1" width="20.5703125" customWidth="1"/>
    <col min="2" max="2" width="11" customWidth="1"/>
    <col min="3" max="4" width="9.28515625" bestFit="1" customWidth="1"/>
    <col min="5" max="5" width="10" bestFit="1" customWidth="1"/>
    <col min="6" max="6" width="9.28515625" bestFit="1" customWidth="1"/>
    <col min="7" max="7" width="9.5703125" customWidth="1"/>
    <col min="8" max="8" width="9.28515625" bestFit="1" customWidth="1"/>
    <col min="9" max="10" width="11.140625" customWidth="1"/>
    <col min="11" max="11" width="9.28515625" bestFit="1" customWidth="1"/>
    <col min="12" max="12" width="10" bestFit="1" customWidth="1"/>
  </cols>
  <sheetData>
    <row r="1" spans="1:13">
      <c r="A1" s="66" t="s">
        <v>78</v>
      </c>
    </row>
    <row r="2" spans="1:13" ht="30">
      <c r="A2" s="14" t="s">
        <v>27</v>
      </c>
      <c r="B2" s="12"/>
      <c r="C2" s="12" t="s">
        <v>4</v>
      </c>
      <c r="D2" s="12" t="s">
        <v>5</v>
      </c>
      <c r="E2" s="12" t="s">
        <v>6</v>
      </c>
      <c r="F2" s="12" t="s">
        <v>7</v>
      </c>
      <c r="G2" s="12" t="s">
        <v>28</v>
      </c>
      <c r="H2" s="12" t="s">
        <v>9</v>
      </c>
      <c r="I2" s="12" t="s">
        <v>10</v>
      </c>
      <c r="J2" s="12" t="s">
        <v>11</v>
      </c>
      <c r="K2" s="12" t="s">
        <v>12</v>
      </c>
      <c r="L2" s="12" t="s">
        <v>30</v>
      </c>
      <c r="M2" s="12"/>
    </row>
    <row r="3" spans="1:13">
      <c r="A3" t="s">
        <v>31</v>
      </c>
      <c r="C3">
        <v>98</v>
      </c>
      <c r="D3">
        <v>140</v>
      </c>
      <c r="E3">
        <v>202</v>
      </c>
      <c r="F3">
        <v>82</v>
      </c>
      <c r="G3">
        <v>159</v>
      </c>
      <c r="H3">
        <v>171</v>
      </c>
      <c r="I3">
        <v>88</v>
      </c>
      <c r="J3">
        <f>85+113</f>
        <v>198</v>
      </c>
      <c r="K3">
        <v>58</v>
      </c>
      <c r="L3" s="11">
        <v>1134</v>
      </c>
    </row>
    <row r="4" spans="1:13">
      <c r="A4" t="s">
        <v>32</v>
      </c>
      <c r="C4">
        <v>0</v>
      </c>
      <c r="D4">
        <v>53</v>
      </c>
      <c r="E4">
        <v>0</v>
      </c>
      <c r="F4">
        <v>0</v>
      </c>
      <c r="G4">
        <v>0</v>
      </c>
      <c r="H4">
        <v>25</v>
      </c>
      <c r="I4">
        <v>10</v>
      </c>
      <c r="J4">
        <v>1</v>
      </c>
      <c r="K4">
        <v>24</v>
      </c>
      <c r="L4" s="11">
        <v>116</v>
      </c>
    </row>
    <row r="5" spans="1:13">
      <c r="A5" t="s">
        <v>42</v>
      </c>
      <c r="C5">
        <v>0</v>
      </c>
      <c r="D5">
        <v>11</v>
      </c>
      <c r="E5">
        <v>0</v>
      </c>
      <c r="F5">
        <v>52</v>
      </c>
      <c r="G5">
        <v>12</v>
      </c>
      <c r="H5">
        <v>19</v>
      </c>
      <c r="I5">
        <v>37</v>
      </c>
      <c r="J5">
        <v>0</v>
      </c>
      <c r="K5">
        <v>15</v>
      </c>
      <c r="L5" s="11">
        <v>133</v>
      </c>
    </row>
    <row r="6" spans="1:13">
      <c r="A6" t="s">
        <v>33</v>
      </c>
      <c r="C6">
        <v>7</v>
      </c>
      <c r="D6">
        <v>4</v>
      </c>
      <c r="E6">
        <v>28</v>
      </c>
      <c r="F6">
        <v>4</v>
      </c>
      <c r="G6">
        <v>28</v>
      </c>
      <c r="H6">
        <v>3</v>
      </c>
      <c r="I6">
        <v>3</v>
      </c>
      <c r="J6">
        <f>1+1</f>
        <v>2</v>
      </c>
      <c r="K6">
        <v>0</v>
      </c>
      <c r="L6" s="11">
        <v>87</v>
      </c>
    </row>
    <row r="7" spans="1:13">
      <c r="A7" t="s">
        <v>34</v>
      </c>
      <c r="C7">
        <v>14</v>
      </c>
      <c r="D7">
        <v>52</v>
      </c>
      <c r="E7">
        <v>116</v>
      </c>
      <c r="F7">
        <v>25</v>
      </c>
      <c r="G7">
        <v>38</v>
      </c>
      <c r="H7">
        <v>41</v>
      </c>
      <c r="I7">
        <v>69</v>
      </c>
      <c r="J7">
        <f>10+17</f>
        <v>27</v>
      </c>
      <c r="K7">
        <v>14</v>
      </c>
      <c r="L7" s="11">
        <v>391</v>
      </c>
    </row>
    <row r="8" spans="1:13">
      <c r="A8" t="s">
        <v>35</v>
      </c>
      <c r="C8">
        <v>24</v>
      </c>
      <c r="D8">
        <v>24</v>
      </c>
      <c r="E8">
        <v>72</v>
      </c>
      <c r="F8">
        <v>24</v>
      </c>
      <c r="G8">
        <v>48</v>
      </c>
      <c r="H8">
        <v>48</v>
      </c>
      <c r="I8">
        <v>24</v>
      </c>
      <c r="J8">
        <v>0</v>
      </c>
      <c r="K8">
        <v>24</v>
      </c>
      <c r="L8" s="11">
        <v>288</v>
      </c>
    </row>
    <row r="9" spans="1:13">
      <c r="A9" t="s">
        <v>36</v>
      </c>
      <c r="C9">
        <v>0</v>
      </c>
      <c r="D9">
        <v>0</v>
      </c>
      <c r="E9">
        <v>8</v>
      </c>
      <c r="F9">
        <v>8</v>
      </c>
      <c r="G9">
        <v>8</v>
      </c>
      <c r="H9">
        <v>8</v>
      </c>
      <c r="I9">
        <v>8</v>
      </c>
      <c r="J9">
        <v>0</v>
      </c>
      <c r="K9">
        <v>0</v>
      </c>
      <c r="L9" s="11">
        <v>16</v>
      </c>
    </row>
    <row r="10" spans="1:13">
      <c r="A10" t="s">
        <v>3</v>
      </c>
      <c r="C10">
        <f>SUM(C3:C9)</f>
        <v>143</v>
      </c>
      <c r="D10">
        <f>SUM(D3:D9)</f>
        <v>284</v>
      </c>
      <c r="E10">
        <f t="shared" ref="E10:L10" si="0">SUM(E3:E9)</f>
        <v>426</v>
      </c>
      <c r="F10">
        <f t="shared" si="0"/>
        <v>195</v>
      </c>
      <c r="G10">
        <f t="shared" si="0"/>
        <v>293</v>
      </c>
      <c r="H10">
        <f t="shared" si="0"/>
        <v>315</v>
      </c>
      <c r="I10">
        <f t="shared" si="0"/>
        <v>239</v>
      </c>
      <c r="J10">
        <f t="shared" si="0"/>
        <v>228</v>
      </c>
      <c r="K10">
        <f t="shared" si="0"/>
        <v>135</v>
      </c>
      <c r="L10">
        <f t="shared" si="0"/>
        <v>2165</v>
      </c>
    </row>
    <row r="11" spans="1:13">
      <c r="L11" s="11"/>
    </row>
    <row r="12" spans="1:13">
      <c r="A12" t="s">
        <v>52</v>
      </c>
      <c r="C12" s="1">
        <f>3764+0+478+274</f>
        <v>4516</v>
      </c>
      <c r="D12" s="1">
        <v>7621</v>
      </c>
      <c r="E12" s="1">
        <f>10774+0+1632+3942</f>
        <v>16348</v>
      </c>
      <c r="F12" s="1">
        <f>5496+0+381+879</f>
        <v>6756</v>
      </c>
      <c r="G12" s="1">
        <f>14967+0+1862+6246</f>
        <v>23075</v>
      </c>
      <c r="H12" s="1">
        <f>6477+586+84+1609</f>
        <v>8756</v>
      </c>
      <c r="I12" s="1">
        <f>3877+596+219+2491</f>
        <v>7183</v>
      </c>
      <c r="J12" s="1">
        <f>(1297+176+14+248)+(3254+0+59+665)</f>
        <v>5713</v>
      </c>
      <c r="K12" s="1">
        <f>2725+495+0+866</f>
        <v>4086</v>
      </c>
      <c r="L12" s="1">
        <f>SUM(C12:K12)</f>
        <v>84054</v>
      </c>
    </row>
    <row r="13" spans="1:13">
      <c r="L13" s="11"/>
    </row>
    <row r="14" spans="1:13">
      <c r="A14" t="s">
        <v>53</v>
      </c>
      <c r="C14">
        <f>C10</f>
        <v>143</v>
      </c>
      <c r="D14" s="11">
        <f>D10*1.1</f>
        <v>312.40000000000003</v>
      </c>
      <c r="E14" s="11">
        <f>E10*1.2</f>
        <v>511.2</v>
      </c>
      <c r="F14" s="11">
        <f t="shared" ref="F14" si="1">F10*1.1</f>
        <v>214.50000000000003</v>
      </c>
      <c r="G14" s="11">
        <f>G10*1.2</f>
        <v>351.59999999999997</v>
      </c>
      <c r="H14" s="11">
        <f t="shared" ref="H14:I14" si="2">H10*1.1</f>
        <v>346.5</v>
      </c>
      <c r="I14" s="11">
        <f t="shared" si="2"/>
        <v>262.90000000000003</v>
      </c>
      <c r="J14" s="11">
        <f>J10</f>
        <v>228</v>
      </c>
      <c r="K14" s="11">
        <f>K10*1</f>
        <v>135</v>
      </c>
      <c r="L14" s="11">
        <f>SUM(C14:K14)</f>
        <v>2505.1</v>
      </c>
      <c r="M14" s="11">
        <f>L14</f>
        <v>2505.1</v>
      </c>
    </row>
    <row r="15" spans="1:13">
      <c r="A15" t="s">
        <v>38</v>
      </c>
    </row>
    <row r="16" spans="1:13">
      <c r="A16" t="s">
        <v>39</v>
      </c>
    </row>
    <row r="17" spans="1:12">
      <c r="A17" t="s">
        <v>40</v>
      </c>
    </row>
    <row r="21" spans="1:12">
      <c r="A21" t="s">
        <v>41</v>
      </c>
    </row>
    <row r="22" spans="1:12" s="12" customFormat="1" ht="31.5" customHeight="1">
      <c r="A22" s="14" t="s">
        <v>27</v>
      </c>
      <c r="C22" s="12" t="s">
        <v>4</v>
      </c>
      <c r="D22" s="12" t="s">
        <v>5</v>
      </c>
      <c r="E22" s="12" t="s">
        <v>6</v>
      </c>
      <c r="F22" s="12" t="s">
        <v>7</v>
      </c>
      <c r="G22" s="12" t="s">
        <v>28</v>
      </c>
      <c r="H22" s="12" t="s">
        <v>9</v>
      </c>
      <c r="I22" s="12" t="s">
        <v>10</v>
      </c>
      <c r="J22" s="12" t="s">
        <v>11</v>
      </c>
      <c r="K22" s="12" t="s">
        <v>12</v>
      </c>
      <c r="L22" s="12" t="s">
        <v>30</v>
      </c>
    </row>
    <row r="23" spans="1:12">
      <c r="A23" t="s">
        <v>31</v>
      </c>
      <c r="C23">
        <v>122</v>
      </c>
      <c r="D23">
        <v>140</v>
      </c>
      <c r="E23">
        <v>139</v>
      </c>
      <c r="F23">
        <v>79</v>
      </c>
      <c r="G23">
        <v>137</v>
      </c>
      <c r="H23">
        <v>134</v>
      </c>
      <c r="I23">
        <v>100</v>
      </c>
      <c r="J23">
        <v>194</v>
      </c>
      <c r="K23">
        <v>89</v>
      </c>
      <c r="L23" s="11">
        <v>1134</v>
      </c>
    </row>
    <row r="24" spans="1:12">
      <c r="A24" t="s">
        <v>32</v>
      </c>
      <c r="C24">
        <v>5</v>
      </c>
      <c r="D24">
        <v>53</v>
      </c>
      <c r="E24">
        <v>0</v>
      </c>
      <c r="F24">
        <v>1</v>
      </c>
      <c r="G24">
        <v>1</v>
      </c>
      <c r="H24">
        <v>23</v>
      </c>
      <c r="I24">
        <v>11</v>
      </c>
      <c r="J24">
        <v>1</v>
      </c>
      <c r="K24">
        <v>24</v>
      </c>
      <c r="L24" s="11">
        <v>116</v>
      </c>
    </row>
    <row r="25" spans="1:12">
      <c r="A25" t="s">
        <v>42</v>
      </c>
      <c r="C25">
        <v>1</v>
      </c>
      <c r="D25">
        <v>11</v>
      </c>
      <c r="E25">
        <v>0</v>
      </c>
      <c r="F25">
        <v>52</v>
      </c>
      <c r="G25">
        <v>14</v>
      </c>
      <c r="H25">
        <v>16</v>
      </c>
      <c r="I25">
        <v>36</v>
      </c>
      <c r="J25">
        <v>0</v>
      </c>
      <c r="K25">
        <v>3</v>
      </c>
      <c r="L25" s="11">
        <v>133</v>
      </c>
    </row>
    <row r="26" spans="1:12">
      <c r="A26" t="s">
        <v>33</v>
      </c>
      <c r="C26">
        <v>2</v>
      </c>
      <c r="D26">
        <v>4</v>
      </c>
      <c r="E26">
        <v>41</v>
      </c>
      <c r="F26">
        <v>2</v>
      </c>
      <c r="G26">
        <v>27</v>
      </c>
      <c r="H26">
        <v>2</v>
      </c>
      <c r="I26">
        <v>7</v>
      </c>
      <c r="J26">
        <v>2</v>
      </c>
      <c r="K26">
        <v>0</v>
      </c>
      <c r="L26" s="11">
        <v>87</v>
      </c>
    </row>
    <row r="27" spans="1:12">
      <c r="A27" t="s">
        <v>34</v>
      </c>
      <c r="C27">
        <v>21</v>
      </c>
      <c r="D27">
        <v>52</v>
      </c>
      <c r="E27">
        <v>86</v>
      </c>
      <c r="F27">
        <v>23</v>
      </c>
      <c r="G27">
        <v>73</v>
      </c>
      <c r="H27">
        <v>42</v>
      </c>
      <c r="I27">
        <v>58</v>
      </c>
      <c r="J27">
        <v>20</v>
      </c>
      <c r="K27">
        <v>16</v>
      </c>
      <c r="L27" s="11">
        <v>391</v>
      </c>
    </row>
    <row r="28" spans="1:12">
      <c r="A28" t="s">
        <v>35</v>
      </c>
      <c r="C28">
        <v>24</v>
      </c>
      <c r="D28">
        <v>24</v>
      </c>
      <c r="E28">
        <v>72</v>
      </c>
      <c r="F28">
        <v>24</v>
      </c>
      <c r="G28">
        <v>48</v>
      </c>
      <c r="H28">
        <v>48</v>
      </c>
      <c r="I28">
        <v>24</v>
      </c>
      <c r="J28">
        <v>0</v>
      </c>
      <c r="K28">
        <v>24</v>
      </c>
      <c r="L28" s="11">
        <v>288</v>
      </c>
    </row>
    <row r="29" spans="1:12">
      <c r="A29" t="s">
        <v>36</v>
      </c>
      <c r="C29">
        <v>0</v>
      </c>
      <c r="D29">
        <v>0</v>
      </c>
      <c r="E29">
        <v>8</v>
      </c>
      <c r="F29">
        <v>0</v>
      </c>
      <c r="G29">
        <v>8</v>
      </c>
      <c r="H29">
        <v>0</v>
      </c>
      <c r="I29">
        <v>0</v>
      </c>
      <c r="J29">
        <v>0</v>
      </c>
      <c r="K29">
        <v>0</v>
      </c>
      <c r="L29" s="11">
        <v>16</v>
      </c>
    </row>
    <row r="30" spans="1:12">
      <c r="A30" t="s">
        <v>3</v>
      </c>
      <c r="C30">
        <v>175</v>
      </c>
      <c r="D30">
        <v>284</v>
      </c>
      <c r="E30">
        <v>346</v>
      </c>
      <c r="F30">
        <v>181</v>
      </c>
      <c r="G30">
        <v>308</v>
      </c>
      <c r="H30">
        <v>265</v>
      </c>
      <c r="I30">
        <v>236</v>
      </c>
      <c r="J30">
        <v>217</v>
      </c>
      <c r="K30">
        <v>156</v>
      </c>
      <c r="L30" s="11">
        <v>2165</v>
      </c>
    </row>
    <row r="31" spans="1:12">
      <c r="L31" s="11"/>
    </row>
    <row r="32" spans="1:12">
      <c r="A32" t="s">
        <v>52</v>
      </c>
      <c r="C32" s="1">
        <v>3833</v>
      </c>
      <c r="D32" s="1">
        <v>7621</v>
      </c>
      <c r="E32" s="1">
        <v>18698</v>
      </c>
      <c r="F32" s="1">
        <v>6319</v>
      </c>
      <c r="G32" s="1">
        <v>17231</v>
      </c>
      <c r="H32" s="1">
        <v>8268</v>
      </c>
      <c r="I32" s="1">
        <v>7179</v>
      </c>
      <c r="J32" s="1">
        <f>3189+1909</f>
        <v>5098</v>
      </c>
      <c r="K32" s="1">
        <v>6347</v>
      </c>
      <c r="L32" s="1">
        <f>SUM(C32:K32)</f>
        <v>80594</v>
      </c>
    </row>
    <row r="33" spans="1:13">
      <c r="L33" s="11"/>
    </row>
    <row r="34" spans="1:13">
      <c r="A34" t="s">
        <v>53</v>
      </c>
      <c r="C34">
        <f>C30</f>
        <v>175</v>
      </c>
      <c r="D34" s="11">
        <f>D30*1.1</f>
        <v>312.40000000000003</v>
      </c>
      <c r="E34" s="11">
        <f>E30*1.2</f>
        <v>415.2</v>
      </c>
      <c r="F34" s="11">
        <f t="shared" ref="F34:I34" si="3">F30*1.1</f>
        <v>199.10000000000002</v>
      </c>
      <c r="G34" s="11">
        <f>G30*1.2</f>
        <v>369.59999999999997</v>
      </c>
      <c r="H34" s="11">
        <f t="shared" si="3"/>
        <v>291.5</v>
      </c>
      <c r="I34" s="11">
        <f t="shared" si="3"/>
        <v>259.60000000000002</v>
      </c>
      <c r="J34" s="11">
        <f>J30</f>
        <v>217</v>
      </c>
      <c r="K34" s="11">
        <f>K30*1.1</f>
        <v>171.60000000000002</v>
      </c>
      <c r="L34" s="11">
        <f>SUM(C34:K34)</f>
        <v>2411</v>
      </c>
      <c r="M34" s="11">
        <f>L34</f>
        <v>2411</v>
      </c>
    </row>
    <row r="35" spans="1:13">
      <c r="A35" t="s">
        <v>38</v>
      </c>
    </row>
    <row r="36" spans="1:13">
      <c r="A36" t="s">
        <v>39</v>
      </c>
    </row>
    <row r="37" spans="1:13">
      <c r="A37" t="s">
        <v>40</v>
      </c>
    </row>
    <row r="39" spans="1:13">
      <c r="A39" s="2" t="s">
        <v>59</v>
      </c>
    </row>
    <row r="40" spans="1:13" ht="30">
      <c r="A40" s="9" t="s">
        <v>27</v>
      </c>
      <c r="B40" s="10"/>
      <c r="C40" s="10" t="s">
        <v>4</v>
      </c>
      <c r="D40" s="10" t="s">
        <v>5</v>
      </c>
      <c r="E40" s="10" t="s">
        <v>6</v>
      </c>
      <c r="F40" s="10" t="s">
        <v>7</v>
      </c>
      <c r="G40" s="10" t="s">
        <v>28</v>
      </c>
      <c r="H40" s="10" t="s">
        <v>9</v>
      </c>
      <c r="I40" s="10" t="s">
        <v>29</v>
      </c>
      <c r="J40" s="10" t="s">
        <v>11</v>
      </c>
      <c r="K40" s="10" t="s">
        <v>12</v>
      </c>
      <c r="L40" s="10" t="s">
        <v>30</v>
      </c>
    </row>
    <row r="41" spans="1:13">
      <c r="A41" t="s">
        <v>31</v>
      </c>
      <c r="C41" s="11">
        <v>112</v>
      </c>
      <c r="D41" s="11">
        <v>122</v>
      </c>
      <c r="E41" s="11">
        <v>134</v>
      </c>
      <c r="F41" s="11">
        <v>85</v>
      </c>
      <c r="G41" s="11">
        <v>145</v>
      </c>
      <c r="H41" s="11">
        <v>121</v>
      </c>
      <c r="I41" s="11">
        <v>101</v>
      </c>
      <c r="J41" s="11">
        <f>90+114</f>
        <v>204</v>
      </c>
      <c r="K41" s="11">
        <v>63</v>
      </c>
      <c r="L41" s="11">
        <f t="shared" ref="L41:L47" si="4">SUM(C41:K41)</f>
        <v>1087</v>
      </c>
    </row>
    <row r="42" spans="1:13">
      <c r="A42" t="s">
        <v>32</v>
      </c>
      <c r="C42" s="11">
        <f>8/2</f>
        <v>4</v>
      </c>
      <c r="D42" s="11">
        <f>109/2</f>
        <v>54.5</v>
      </c>
      <c r="E42" s="11">
        <f>9/2</f>
        <v>4.5</v>
      </c>
      <c r="F42" s="11">
        <f>1/2</f>
        <v>0.5</v>
      </c>
      <c r="G42" s="11">
        <f>2/2</f>
        <v>1</v>
      </c>
      <c r="H42" s="11">
        <f>41/2</f>
        <v>20.5</v>
      </c>
      <c r="I42" s="11">
        <f>20/2</f>
        <v>10</v>
      </c>
      <c r="J42" s="11">
        <f>13/2</f>
        <v>6.5</v>
      </c>
      <c r="K42" s="11">
        <f>24/2</f>
        <v>12</v>
      </c>
      <c r="L42" s="11">
        <f t="shared" si="4"/>
        <v>113.5</v>
      </c>
    </row>
    <row r="43" spans="1:13">
      <c r="A43" t="s">
        <v>42</v>
      </c>
      <c r="C43">
        <v>1</v>
      </c>
      <c r="D43">
        <v>11</v>
      </c>
      <c r="E43">
        <v>0</v>
      </c>
      <c r="F43">
        <v>52</v>
      </c>
      <c r="G43">
        <v>14</v>
      </c>
      <c r="H43">
        <v>16</v>
      </c>
      <c r="I43">
        <v>36</v>
      </c>
      <c r="J43">
        <v>0</v>
      </c>
      <c r="K43">
        <v>3</v>
      </c>
      <c r="L43" s="11">
        <v>133</v>
      </c>
      <c r="M43" t="s">
        <v>65</v>
      </c>
    </row>
    <row r="44" spans="1:13">
      <c r="A44" t="s">
        <v>33</v>
      </c>
      <c r="C44" s="11">
        <v>1</v>
      </c>
      <c r="D44" s="11">
        <v>5</v>
      </c>
      <c r="E44" s="11">
        <v>25</v>
      </c>
      <c r="F44" s="11">
        <v>3</v>
      </c>
      <c r="G44" s="11">
        <v>28</v>
      </c>
      <c r="H44" s="11">
        <v>3</v>
      </c>
      <c r="I44" s="11">
        <v>4</v>
      </c>
      <c r="J44" s="11">
        <f>3+0</f>
        <v>3</v>
      </c>
      <c r="K44" s="11">
        <v>0</v>
      </c>
      <c r="L44" s="11">
        <f t="shared" si="4"/>
        <v>72</v>
      </c>
    </row>
    <row r="45" spans="1:13">
      <c r="A45" t="s">
        <v>34</v>
      </c>
      <c r="C45" s="11">
        <v>24</v>
      </c>
      <c r="D45" s="11">
        <v>52</v>
      </c>
      <c r="E45" s="11">
        <v>109</v>
      </c>
      <c r="F45" s="11">
        <v>23</v>
      </c>
      <c r="G45" s="11">
        <v>67</v>
      </c>
      <c r="H45" s="11">
        <v>45</v>
      </c>
      <c r="I45" s="11">
        <v>50</v>
      </c>
      <c r="J45" s="11">
        <f>15+13</f>
        <v>28</v>
      </c>
      <c r="K45" s="11">
        <v>25</v>
      </c>
      <c r="L45" s="11">
        <f t="shared" si="4"/>
        <v>423</v>
      </c>
    </row>
    <row r="46" spans="1:13">
      <c r="A46" t="s">
        <v>35</v>
      </c>
      <c r="C46" s="11">
        <f>1*24</f>
        <v>24</v>
      </c>
      <c r="D46" s="11">
        <f>1*24</f>
        <v>24</v>
      </c>
      <c r="E46" s="11">
        <f>3*24</f>
        <v>72</v>
      </c>
      <c r="F46" s="11">
        <f>1*24</f>
        <v>24</v>
      </c>
      <c r="G46" s="11">
        <f>2*24</f>
        <v>48</v>
      </c>
      <c r="H46" s="11">
        <f>2*24</f>
        <v>48</v>
      </c>
      <c r="I46" s="11">
        <f>1*24</f>
        <v>24</v>
      </c>
      <c r="J46" s="11">
        <f>1*24</f>
        <v>24</v>
      </c>
      <c r="K46" s="11">
        <v>0</v>
      </c>
      <c r="L46" s="11">
        <f t="shared" si="4"/>
        <v>288</v>
      </c>
    </row>
    <row r="47" spans="1:13">
      <c r="A47" t="s">
        <v>36</v>
      </c>
      <c r="C47" s="11">
        <v>0</v>
      </c>
      <c r="D47" s="11">
        <f>1*8</f>
        <v>8</v>
      </c>
      <c r="E47" s="11">
        <f>1*8</f>
        <v>8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f t="shared" si="4"/>
        <v>16</v>
      </c>
    </row>
    <row r="48" spans="1:13">
      <c r="A48" t="s">
        <v>3</v>
      </c>
      <c r="C48" s="11">
        <f t="shared" ref="C48:K48" si="5">SUM(C41:C47)</f>
        <v>166</v>
      </c>
      <c r="D48" s="11">
        <f t="shared" si="5"/>
        <v>276.5</v>
      </c>
      <c r="E48" s="11">
        <f t="shared" si="5"/>
        <v>352.5</v>
      </c>
      <c r="F48" s="11">
        <f t="shared" si="5"/>
        <v>187.5</v>
      </c>
      <c r="G48" s="11">
        <f t="shared" si="5"/>
        <v>303</v>
      </c>
      <c r="H48" s="11">
        <f t="shared" si="5"/>
        <v>253.5</v>
      </c>
      <c r="I48" s="11">
        <f t="shared" si="5"/>
        <v>225</v>
      </c>
      <c r="J48" s="11">
        <f t="shared" si="5"/>
        <v>265.5</v>
      </c>
      <c r="K48" s="11">
        <f t="shared" si="5"/>
        <v>103</v>
      </c>
      <c r="L48" s="11">
        <f>SUM(L41:L47)</f>
        <v>2132.5</v>
      </c>
    </row>
    <row r="49" spans="1:13">
      <c r="C49" s="11"/>
      <c r="D49" s="11"/>
      <c r="E49" s="11"/>
      <c r="F49" s="11"/>
      <c r="G49" s="11"/>
      <c r="H49" s="11"/>
      <c r="I49" s="11"/>
      <c r="J49" s="11"/>
      <c r="K49" s="11"/>
      <c r="L49" s="11"/>
    </row>
    <row r="50" spans="1:13">
      <c r="A50" t="s">
        <v>63</v>
      </c>
      <c r="C50" s="11">
        <v>3935</v>
      </c>
      <c r="D50" s="11">
        <v>8163</v>
      </c>
      <c r="E50" s="11">
        <v>15622</v>
      </c>
      <c r="F50" s="11">
        <v>7395</v>
      </c>
      <c r="G50" s="11">
        <v>18530</v>
      </c>
      <c r="H50" s="11">
        <v>8092</v>
      </c>
      <c r="I50" s="11">
        <v>6991</v>
      </c>
      <c r="J50" s="11">
        <f>3160+2386</f>
        <v>5546</v>
      </c>
      <c r="K50" s="11">
        <v>4197</v>
      </c>
      <c r="L50" s="11">
        <f>SUM(C50:K50)</f>
        <v>78471</v>
      </c>
      <c r="M50" t="s">
        <v>66</v>
      </c>
    </row>
    <row r="52" spans="1:13" ht="45">
      <c r="A52" s="10" t="s">
        <v>37</v>
      </c>
      <c r="C52" s="11">
        <f>C48*1</f>
        <v>166</v>
      </c>
      <c r="D52" s="11">
        <f>D48*1.1</f>
        <v>304.15000000000003</v>
      </c>
      <c r="E52" s="11">
        <f>E48*1.2</f>
        <v>423</v>
      </c>
      <c r="F52" s="11">
        <f>F48*1.1</f>
        <v>206.25000000000003</v>
      </c>
      <c r="G52" s="11">
        <f>G48*1.2</f>
        <v>363.59999999999997</v>
      </c>
      <c r="H52" s="11">
        <f>H48*1.1</f>
        <v>278.85000000000002</v>
      </c>
      <c r="I52" s="11">
        <f>I48*1.1</f>
        <v>247.50000000000003</v>
      </c>
      <c r="J52" s="11">
        <f>J48*1</f>
        <v>265.5</v>
      </c>
      <c r="K52" s="11">
        <f>K48*1</f>
        <v>103</v>
      </c>
      <c r="L52" s="11">
        <f>SUM(C52:K52)</f>
        <v>2357.85</v>
      </c>
      <c r="M52" s="11">
        <f>L52</f>
        <v>2357.85</v>
      </c>
    </row>
    <row r="53" spans="1:13">
      <c r="A53" t="s">
        <v>60</v>
      </c>
    </row>
    <row r="54" spans="1:13">
      <c r="A54" t="s">
        <v>61</v>
      </c>
    </row>
    <row r="55" spans="1:13">
      <c r="A55" t="s">
        <v>62</v>
      </c>
    </row>
    <row r="58" spans="1:13">
      <c r="A58" t="s">
        <v>67</v>
      </c>
      <c r="C58">
        <f>(C52+C34)/2</f>
        <v>170.5</v>
      </c>
      <c r="D58">
        <f t="shared" ref="D58:K58" si="6">(D52+D34)/2</f>
        <v>308.27500000000003</v>
      </c>
      <c r="E58">
        <f t="shared" si="6"/>
        <v>419.1</v>
      </c>
      <c r="F58">
        <f t="shared" si="6"/>
        <v>202.67500000000001</v>
      </c>
      <c r="G58">
        <f t="shared" si="6"/>
        <v>366.59999999999997</v>
      </c>
      <c r="H58">
        <f t="shared" si="6"/>
        <v>285.17500000000001</v>
      </c>
      <c r="I58">
        <f t="shared" si="6"/>
        <v>253.55</v>
      </c>
      <c r="J58">
        <f t="shared" si="6"/>
        <v>241.25</v>
      </c>
      <c r="K58">
        <f t="shared" si="6"/>
        <v>137.30000000000001</v>
      </c>
      <c r="L58">
        <f>SUM(C58:K58)</f>
        <v>2384.4250000000002</v>
      </c>
      <c r="M58">
        <f>L58</f>
        <v>2384.4250000000002</v>
      </c>
    </row>
  </sheetData>
  <pageMargins left="0.7" right="0.7" top="0.75" bottom="0.75" header="0.3" footer="0.3"/>
  <pageSetup paperSize="9" orientation="portrait" r:id="rId1"/>
  <ignoredErrors>
    <ignoredError sqref="E34 G34 J34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zoomScale="70" zoomScaleNormal="70" workbookViewId="0">
      <selection activeCell="H10" sqref="H10"/>
    </sheetView>
  </sheetViews>
  <sheetFormatPr defaultRowHeight="15"/>
  <cols>
    <col min="6" max="6" width="12.7109375" customWidth="1"/>
    <col min="7" max="7" width="25" customWidth="1"/>
    <col min="8" max="8" width="14.28515625" customWidth="1"/>
    <col min="9" max="9" width="26.7109375" customWidth="1"/>
    <col min="10" max="10" width="16.7109375" customWidth="1"/>
    <col min="12" max="12" width="19.28515625" customWidth="1"/>
  </cols>
  <sheetData>
    <row r="1" spans="1:22">
      <c r="A1" t="s">
        <v>79</v>
      </c>
      <c r="F1" s="66">
        <v>2016</v>
      </c>
      <c r="I1">
        <v>2015</v>
      </c>
      <c r="Q1" t="s">
        <v>64</v>
      </c>
    </row>
    <row r="2" spans="1:22" ht="30">
      <c r="F2" t="s">
        <v>81</v>
      </c>
      <c r="G2" t="s">
        <v>54</v>
      </c>
      <c r="H2" t="s">
        <v>43</v>
      </c>
      <c r="J2" s="10" t="s">
        <v>57</v>
      </c>
      <c r="L2" t="s">
        <v>54</v>
      </c>
      <c r="M2" t="s">
        <v>43</v>
      </c>
      <c r="R2" t="s">
        <v>63</v>
      </c>
      <c r="U2" t="s">
        <v>69</v>
      </c>
    </row>
    <row r="3" spans="1:22" ht="17.25">
      <c r="A3" t="s">
        <v>4</v>
      </c>
      <c r="F3">
        <f>14+376-52</f>
        <v>338</v>
      </c>
      <c r="G3">
        <f>F3</f>
        <v>338</v>
      </c>
      <c r="H3" s="1">
        <f>597+9968-1050</f>
        <v>9515</v>
      </c>
      <c r="I3" s="1">
        <v>383</v>
      </c>
      <c r="J3" s="15">
        <v>438</v>
      </c>
      <c r="L3">
        <v>421.3</v>
      </c>
      <c r="M3" s="1">
        <v>10994</v>
      </c>
      <c r="P3" s="13"/>
      <c r="Q3">
        <v>488</v>
      </c>
      <c r="R3" s="18">
        <v>8790</v>
      </c>
      <c r="U3" s="16">
        <f t="shared" ref="U3:U11" si="0">(J3+Q3)/2</f>
        <v>463</v>
      </c>
    </row>
    <row r="4" spans="1:22" ht="17.25">
      <c r="A4" t="s">
        <v>5</v>
      </c>
      <c r="G4">
        <v>596</v>
      </c>
      <c r="H4" s="1">
        <v>12020</v>
      </c>
      <c r="I4" s="1">
        <v>526</v>
      </c>
      <c r="J4" s="15">
        <v>596</v>
      </c>
      <c r="L4">
        <v>578.6</v>
      </c>
      <c r="M4" s="1">
        <v>12020</v>
      </c>
      <c r="P4" s="13"/>
      <c r="Q4">
        <v>370</v>
      </c>
      <c r="R4" s="17">
        <v>8999</v>
      </c>
      <c r="U4" s="16">
        <f t="shared" si="0"/>
        <v>483</v>
      </c>
    </row>
    <row r="5" spans="1:22" ht="17.25">
      <c r="A5" t="s">
        <v>6</v>
      </c>
      <c r="F5">
        <f>16+189-73</f>
        <v>132</v>
      </c>
      <c r="G5">
        <f>F5</f>
        <v>132</v>
      </c>
      <c r="H5" s="1">
        <f>515+7400-4200</f>
        <v>3715</v>
      </c>
      <c r="I5" s="1">
        <f>187+72</f>
        <v>259</v>
      </c>
      <c r="J5" s="15">
        <v>273</v>
      </c>
      <c r="L5">
        <v>259</v>
      </c>
      <c r="M5" s="1">
        <v>3373</v>
      </c>
      <c r="P5" s="13"/>
      <c r="Q5">
        <v>171</v>
      </c>
      <c r="R5" s="17">
        <v>11853</v>
      </c>
      <c r="U5" s="16">
        <f t="shared" si="0"/>
        <v>222</v>
      </c>
    </row>
    <row r="6" spans="1:22" ht="17.25">
      <c r="A6" t="s">
        <v>7</v>
      </c>
      <c r="F6">
        <f>9+410</f>
        <v>419</v>
      </c>
      <c r="G6">
        <f>F6</f>
        <v>419</v>
      </c>
      <c r="H6" s="1">
        <f>851+8405</f>
        <v>9256</v>
      </c>
      <c r="I6" s="1">
        <v>369</v>
      </c>
      <c r="J6" s="15">
        <v>374</v>
      </c>
      <c r="L6">
        <v>369</v>
      </c>
      <c r="M6" s="1">
        <v>8857</v>
      </c>
      <c r="P6" s="13"/>
      <c r="Q6">
        <v>361</v>
      </c>
      <c r="R6" s="17">
        <v>8770</v>
      </c>
      <c r="U6" s="16">
        <f t="shared" si="0"/>
        <v>367.5</v>
      </c>
    </row>
    <row r="7" spans="1:22" ht="17.25">
      <c r="A7" t="s">
        <v>8</v>
      </c>
      <c r="F7">
        <f>26+209</f>
        <v>235</v>
      </c>
      <c r="G7">
        <f>F7*1.1</f>
        <v>258.5</v>
      </c>
      <c r="H7" s="1">
        <f>4079+8754</f>
        <v>12833</v>
      </c>
      <c r="I7" s="1">
        <v>210</v>
      </c>
      <c r="J7" s="15">
        <v>231</v>
      </c>
      <c r="L7">
        <v>210</v>
      </c>
      <c r="M7" s="1">
        <v>8265</v>
      </c>
      <c r="P7" s="13"/>
      <c r="Q7">
        <v>218</v>
      </c>
      <c r="R7" s="17">
        <v>10839</v>
      </c>
      <c r="U7" s="16">
        <f t="shared" si="0"/>
        <v>224.5</v>
      </c>
    </row>
    <row r="8" spans="1:22" ht="17.25">
      <c r="A8" t="s">
        <v>9</v>
      </c>
      <c r="F8">
        <f>10+224-10-1</f>
        <v>223</v>
      </c>
      <c r="G8">
        <f>F8</f>
        <v>223</v>
      </c>
      <c r="H8" s="1">
        <f>550+5193-338-30</f>
        <v>5375</v>
      </c>
      <c r="I8" s="1">
        <v>273</v>
      </c>
      <c r="J8" s="15">
        <v>353</v>
      </c>
      <c r="L8">
        <v>273</v>
      </c>
      <c r="M8" s="1">
        <v>5573</v>
      </c>
      <c r="P8" s="13"/>
      <c r="Q8">
        <v>315</v>
      </c>
      <c r="R8" s="17">
        <v>7953</v>
      </c>
      <c r="U8" s="16">
        <f t="shared" si="0"/>
        <v>334</v>
      </c>
    </row>
    <row r="9" spans="1:22" ht="17.25">
      <c r="A9" t="s">
        <v>10</v>
      </c>
      <c r="F9">
        <f>13+353</f>
        <v>366</v>
      </c>
      <c r="G9">
        <f>F9</f>
        <v>366</v>
      </c>
      <c r="H9" s="1">
        <f>776+9017</f>
        <v>9793</v>
      </c>
      <c r="I9" s="1">
        <v>316</v>
      </c>
      <c r="J9" s="15">
        <v>328</v>
      </c>
      <c r="L9">
        <v>316</v>
      </c>
      <c r="M9" s="1">
        <v>8681</v>
      </c>
      <c r="P9" s="13"/>
      <c r="Q9">
        <v>296</v>
      </c>
      <c r="R9" s="17">
        <v>7645</v>
      </c>
      <c r="U9" s="16">
        <f t="shared" si="0"/>
        <v>312</v>
      </c>
    </row>
    <row r="10" spans="1:22" ht="17.25">
      <c r="A10" t="s">
        <v>11</v>
      </c>
      <c r="F10">
        <f>(9+166+1)+(11+379+1)</f>
        <v>567</v>
      </c>
      <c r="G10">
        <f>F10</f>
        <v>567</v>
      </c>
      <c r="H10" s="1">
        <f>(407+1952+30)+(667+6322+350)</f>
        <v>9728</v>
      </c>
      <c r="I10" s="1">
        <f>128+3+340-32</f>
        <v>439</v>
      </c>
      <c r="J10" s="15">
        <v>456</v>
      </c>
      <c r="L10">
        <v>439</v>
      </c>
      <c r="M10" s="1">
        <f>1902+6006</f>
        <v>7908</v>
      </c>
      <c r="P10" s="13"/>
      <c r="Q10">
        <v>469</v>
      </c>
      <c r="R10" s="1">
        <f>5866+3145</f>
        <v>9011</v>
      </c>
      <c r="U10" s="16">
        <f t="shared" si="0"/>
        <v>462.5</v>
      </c>
    </row>
    <row r="11" spans="1:22" ht="17.25">
      <c r="A11" t="s">
        <v>12</v>
      </c>
      <c r="F11">
        <f>8+472</f>
        <v>480</v>
      </c>
      <c r="G11">
        <f>F11</f>
        <v>480</v>
      </c>
      <c r="H11" s="1">
        <f>332+8186</f>
        <v>8518</v>
      </c>
      <c r="I11" s="1">
        <v>433</v>
      </c>
      <c r="J11" s="15">
        <v>487</v>
      </c>
      <c r="L11">
        <v>476.3</v>
      </c>
      <c r="M11" s="1">
        <v>10994</v>
      </c>
      <c r="P11" s="13"/>
      <c r="Q11">
        <v>262</v>
      </c>
      <c r="R11" s="17">
        <v>7300</v>
      </c>
      <c r="U11" s="16">
        <f t="shared" si="0"/>
        <v>374.5</v>
      </c>
      <c r="V11" s="17"/>
    </row>
    <row r="12" spans="1:22" ht="17.25">
      <c r="A12" t="s">
        <v>3</v>
      </c>
      <c r="G12">
        <f>SUM(G3:G11)</f>
        <v>3379.5</v>
      </c>
      <c r="H12" s="13">
        <f>SUM(H3:H11)</f>
        <v>80753</v>
      </c>
      <c r="I12" s="13">
        <f>SUM(I3:I11)</f>
        <v>3208</v>
      </c>
      <c r="J12" s="13">
        <f>SUM(J3:J11)</f>
        <v>3536</v>
      </c>
      <c r="L12">
        <v>3342.2000000000003</v>
      </c>
      <c r="M12" s="13">
        <f>SUM(M3:M11)</f>
        <v>76665</v>
      </c>
      <c r="P12" s="13"/>
      <c r="Q12">
        <f>SUM(Q3:Q11)</f>
        <v>2950</v>
      </c>
      <c r="U12" s="16">
        <f>SUM(U3:U11)</f>
        <v>3243</v>
      </c>
      <c r="V12" s="17"/>
    </row>
    <row r="15" spans="1:22">
      <c r="A15" t="s">
        <v>44</v>
      </c>
    </row>
    <row r="18" spans="1:1">
      <c r="A18" t="s">
        <v>45</v>
      </c>
    </row>
    <row r="19" spans="1:1">
      <c r="A19" t="s">
        <v>46</v>
      </c>
    </row>
    <row r="20" spans="1:1">
      <c r="A20" t="s">
        <v>47</v>
      </c>
    </row>
    <row r="21" spans="1:1">
      <c r="A21" t="s">
        <v>48</v>
      </c>
    </row>
    <row r="22" spans="1:1">
      <c r="A22" t="s">
        <v>49</v>
      </c>
    </row>
    <row r="23" spans="1:1">
      <c r="A23" t="s">
        <v>50</v>
      </c>
    </row>
    <row r="24" spans="1:1">
      <c r="A24" t="s">
        <v>51</v>
      </c>
    </row>
    <row r="26" spans="1:1">
      <c r="A26" t="s">
        <v>83</v>
      </c>
    </row>
    <row r="27" spans="1:1">
      <c r="A27" t="s">
        <v>84</v>
      </c>
    </row>
    <row r="28" spans="1:1">
      <c r="A28" t="s">
        <v>85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F7" sqref="F7"/>
    </sheetView>
  </sheetViews>
  <sheetFormatPr defaultRowHeight="15"/>
  <cols>
    <col min="4" max="4" width="10" bestFit="1" customWidth="1"/>
    <col min="5" max="6" width="20.85546875" customWidth="1"/>
    <col min="8" max="8" width="10" bestFit="1" customWidth="1"/>
  </cols>
  <sheetData>
    <row r="1" spans="1:9">
      <c r="A1" s="2" t="s">
        <v>55</v>
      </c>
      <c r="F1" t="s">
        <v>80</v>
      </c>
      <c r="G1" t="s">
        <v>70</v>
      </c>
      <c r="H1" t="s">
        <v>71</v>
      </c>
    </row>
    <row r="2" spans="1:9">
      <c r="D2" t="s">
        <v>56</v>
      </c>
      <c r="F2" s="2">
        <v>2017</v>
      </c>
      <c r="G2" s="2">
        <v>2016</v>
      </c>
      <c r="H2" s="2">
        <v>2015</v>
      </c>
      <c r="I2" t="s">
        <v>68</v>
      </c>
    </row>
    <row r="3" spans="1:9">
      <c r="A3" t="s">
        <v>4</v>
      </c>
      <c r="D3" s="1">
        <v>10318</v>
      </c>
      <c r="F3" s="1">
        <v>10476</v>
      </c>
      <c r="G3" s="1">
        <v>10377</v>
      </c>
      <c r="H3" s="1">
        <v>10318</v>
      </c>
      <c r="I3">
        <f>(G3+H3)/2</f>
        <v>10347.5</v>
      </c>
    </row>
    <row r="4" spans="1:9">
      <c r="A4" t="s">
        <v>5</v>
      </c>
      <c r="D4" s="1">
        <v>14591</v>
      </c>
      <c r="F4" s="1">
        <v>14735</v>
      </c>
      <c r="G4" s="1">
        <v>14619</v>
      </c>
      <c r="H4" s="1">
        <v>14591</v>
      </c>
      <c r="I4">
        <f t="shared" ref="I4:I11" si="0">(G4+H4)/2</f>
        <v>14605</v>
      </c>
    </row>
    <row r="5" spans="1:9">
      <c r="A5" t="s">
        <v>6</v>
      </c>
      <c r="D5" s="1">
        <v>9033</v>
      </c>
      <c r="F5" s="1">
        <v>9154</v>
      </c>
      <c r="G5" s="1">
        <v>9099</v>
      </c>
      <c r="H5" s="1">
        <v>9033</v>
      </c>
      <c r="I5">
        <f t="shared" si="0"/>
        <v>9066</v>
      </c>
    </row>
    <row r="6" spans="1:9">
      <c r="A6" t="s">
        <v>7</v>
      </c>
      <c r="D6" s="1">
        <v>4934</v>
      </c>
      <c r="F6" s="1">
        <v>4989</v>
      </c>
      <c r="G6" s="1">
        <v>4974</v>
      </c>
      <c r="H6" s="1">
        <v>4934</v>
      </c>
      <c r="I6">
        <f t="shared" si="0"/>
        <v>4954</v>
      </c>
    </row>
    <row r="7" spans="1:9">
      <c r="A7" t="s">
        <v>8</v>
      </c>
      <c r="D7" s="1">
        <v>11142</v>
      </c>
      <c r="F7" s="1">
        <v>11368</v>
      </c>
      <c r="G7" s="1">
        <v>11334</v>
      </c>
      <c r="H7" s="1">
        <v>11142</v>
      </c>
      <c r="I7">
        <f t="shared" si="0"/>
        <v>11238</v>
      </c>
    </row>
    <row r="8" spans="1:9">
      <c r="A8" t="s">
        <v>9</v>
      </c>
      <c r="D8" s="1">
        <v>10408</v>
      </c>
      <c r="F8" s="1">
        <v>10597</v>
      </c>
      <c r="G8" s="1">
        <v>10552</v>
      </c>
      <c r="H8" s="1">
        <v>10408</v>
      </c>
      <c r="I8">
        <f t="shared" si="0"/>
        <v>10480</v>
      </c>
    </row>
    <row r="9" spans="1:9">
      <c r="A9" t="s">
        <v>10</v>
      </c>
      <c r="D9" s="1">
        <v>8798</v>
      </c>
      <c r="F9" s="1">
        <v>9266</v>
      </c>
      <c r="G9" s="1">
        <v>9144</v>
      </c>
      <c r="H9" s="1">
        <v>8798</v>
      </c>
      <c r="I9">
        <f t="shared" si="0"/>
        <v>8971</v>
      </c>
    </row>
    <row r="10" spans="1:9">
      <c r="A10" t="s">
        <v>11</v>
      </c>
      <c r="D10" s="1">
        <f>9581+7662</f>
        <v>17243</v>
      </c>
      <c r="F10" s="1">
        <f>10299+7829</f>
        <v>18128</v>
      </c>
      <c r="G10" s="1">
        <f>9852+7905</f>
        <v>17757</v>
      </c>
      <c r="H10" s="1">
        <f>9581+7662</f>
        <v>17243</v>
      </c>
      <c r="I10">
        <f t="shared" si="0"/>
        <v>17500</v>
      </c>
    </row>
    <row r="11" spans="1:9">
      <c r="A11" t="s">
        <v>12</v>
      </c>
      <c r="D11" s="1">
        <v>7101</v>
      </c>
      <c r="F11" s="1">
        <v>6933</v>
      </c>
      <c r="G11" s="1">
        <v>7026</v>
      </c>
      <c r="H11" s="1">
        <v>7101</v>
      </c>
      <c r="I11">
        <f t="shared" si="0"/>
        <v>7063.5</v>
      </c>
    </row>
    <row r="12" spans="1:9">
      <c r="A12" t="s">
        <v>3</v>
      </c>
      <c r="D12" s="1">
        <f>SUM(D3:D11)</f>
        <v>93568</v>
      </c>
      <c r="F12" s="1">
        <f>SUM(F3:F11)</f>
        <v>95646</v>
      </c>
      <c r="G12" s="1">
        <f>SUM(G3:G11)</f>
        <v>94882</v>
      </c>
      <c r="H12" s="1">
        <f>SUM(H3:H11)</f>
        <v>93568</v>
      </c>
      <c r="I12">
        <f>SUM(I3:I11)</f>
        <v>94225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BEVILLING 2018</vt:lpstr>
      <vt:lpstr>Bispebjerg-Brønshøj-modellen</vt:lpstr>
      <vt:lpstr>ny m2</vt:lpstr>
      <vt:lpstr>ny m2 rådata</vt:lpstr>
      <vt:lpstr>Formål 2</vt:lpstr>
      <vt:lpstr>Formål 3 skal</vt:lpstr>
      <vt:lpstr>Formål 3 kan</vt:lpstr>
      <vt:lpstr>Indbyggere</vt:lpstr>
    </vt:vector>
  </TitlesOfParts>
  <Company>Kirkenettet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Johanne Haastrup</dc:creator>
  <cp:lastModifiedBy>Johanne Haastrup</cp:lastModifiedBy>
  <cp:lastPrinted>2021-01-18T12:37:12Z</cp:lastPrinted>
  <dcterms:created xsi:type="dcterms:W3CDTF">2015-11-27T13:12:07Z</dcterms:created>
  <dcterms:modified xsi:type="dcterms:W3CDTF">2021-01-18T12:43:06Z</dcterms:modified>
</cp:coreProperties>
</file>